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icks\Desktop\PM2.5 Update MOVES\EmissionInventoryOutput_reports\EmissionInventoryOutput_reports\"/>
    </mc:Choice>
  </mc:AlternateContent>
  <bookViews>
    <workbookView xWindow="0" yWindow="0" windowWidth="19200" windowHeight="11460" activeTab="4"/>
  </bookViews>
  <sheets>
    <sheet name="SummaryReportBody" sheetId="1" r:id="rId1"/>
    <sheet name="Header2017" sheetId="5" r:id="rId2"/>
    <sheet name="results" sheetId="3" r:id="rId3"/>
    <sheet name="Ozone_cal" sheetId="4" r:id="rId4"/>
    <sheet name="PM25" sheetId="6" r:id="rId5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F35" i="1"/>
  <c r="F36" i="1"/>
  <c r="F37" i="1"/>
  <c r="E37" i="1"/>
  <c r="E36" i="1"/>
  <c r="E35" i="1"/>
  <c r="F34" i="1"/>
  <c r="E34" i="1"/>
  <c r="F33" i="1"/>
  <c r="E33" i="1"/>
  <c r="A6" i="6" l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5" i="6"/>
  <c r="A4" i="6"/>
  <c r="A3" i="4"/>
  <c r="W31" i="6" l="1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X27" i="6"/>
  <c r="Y27" i="6" s="1"/>
  <c r="D27" i="6" s="1"/>
  <c r="X26" i="6"/>
  <c r="Y26" i="6" s="1"/>
  <c r="D26" i="6" s="1"/>
  <c r="X25" i="6"/>
  <c r="Y25" i="6" s="1"/>
  <c r="D25" i="6" s="1"/>
  <c r="X24" i="6"/>
  <c r="Y24" i="6" s="1"/>
  <c r="D24" i="6" s="1"/>
  <c r="X23" i="6"/>
  <c r="Y23" i="6" s="1"/>
  <c r="D23" i="6" s="1"/>
  <c r="X22" i="6"/>
  <c r="Y22" i="6" s="1"/>
  <c r="D22" i="6" s="1"/>
  <c r="X21" i="6"/>
  <c r="Y21" i="6" s="1"/>
  <c r="D21" i="6" s="1"/>
  <c r="X20" i="6"/>
  <c r="Y20" i="6" s="1"/>
  <c r="D20" i="6" s="1"/>
  <c r="X19" i="6"/>
  <c r="Y19" i="6" s="1"/>
  <c r="D19" i="6" s="1"/>
  <c r="X18" i="6"/>
  <c r="Y18" i="6" s="1"/>
  <c r="D18" i="6" s="1"/>
  <c r="X17" i="6"/>
  <c r="Y17" i="6" s="1"/>
  <c r="D17" i="6" s="1"/>
  <c r="X16" i="6"/>
  <c r="Y16" i="6" s="1"/>
  <c r="D16" i="6" s="1"/>
  <c r="X15" i="6"/>
  <c r="Y15" i="6" s="1"/>
  <c r="D15" i="6" s="1"/>
  <c r="X14" i="6"/>
  <c r="Y14" i="6" s="1"/>
  <c r="D14" i="6" s="1"/>
  <c r="X13" i="6"/>
  <c r="Y13" i="6" s="1"/>
  <c r="D13" i="6" s="1"/>
  <c r="X12" i="6"/>
  <c r="Y12" i="6" s="1"/>
  <c r="D12" i="6" s="1"/>
  <c r="X11" i="6"/>
  <c r="Y11" i="6" s="1"/>
  <c r="D11" i="6" s="1"/>
  <c r="X10" i="6"/>
  <c r="Y10" i="6" s="1"/>
  <c r="D10" i="6" s="1"/>
  <c r="X9" i="6"/>
  <c r="Y9" i="6" s="1"/>
  <c r="D9" i="6" s="1"/>
  <c r="X8" i="6"/>
  <c r="Y8" i="6" s="1"/>
  <c r="D8" i="6" s="1"/>
  <c r="X7" i="6"/>
  <c r="Y7" i="6" s="1"/>
  <c r="D7" i="6" s="1"/>
  <c r="X6" i="6"/>
  <c r="Y6" i="6" s="1"/>
  <c r="D6" i="6" s="1"/>
  <c r="X5" i="6"/>
  <c r="Y5" i="6" s="1"/>
  <c r="D5" i="6" s="1"/>
  <c r="X4" i="6"/>
  <c r="Y4" i="6" l="1"/>
  <c r="X31" i="6"/>
  <c r="D4" i="6"/>
  <c r="Y31" i="6"/>
  <c r="K31" i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H25" i="1"/>
  <c r="J27" i="3" s="1"/>
  <c r="G25" i="1"/>
  <c r="H27" i="3" s="1"/>
  <c r="F25" i="1"/>
  <c r="G27" i="3" s="1"/>
  <c r="E25" i="1"/>
  <c r="F27" i="3" s="1"/>
  <c r="D25" i="1"/>
  <c r="E27" i="3" s="1"/>
  <c r="A25" i="1"/>
  <c r="H24" i="1"/>
  <c r="J26" i="3" s="1"/>
  <c r="G24" i="1"/>
  <c r="H26" i="3" s="1"/>
  <c r="F24" i="1"/>
  <c r="G26" i="3" s="1"/>
  <c r="E24" i="1"/>
  <c r="F26" i="3" s="1"/>
  <c r="D24" i="1"/>
  <c r="E26" i="3" s="1"/>
  <c r="A24" i="1"/>
  <c r="H23" i="1"/>
  <c r="J25" i="3" s="1"/>
  <c r="G23" i="1"/>
  <c r="H25" i="3" s="1"/>
  <c r="F23" i="1"/>
  <c r="G25" i="3" s="1"/>
  <c r="E23" i="1"/>
  <c r="F25" i="3" s="1"/>
  <c r="D23" i="1"/>
  <c r="E25" i="3" s="1"/>
  <c r="A23" i="1"/>
  <c r="H22" i="1"/>
  <c r="J24" i="3" s="1"/>
  <c r="G22" i="1"/>
  <c r="H24" i="3" s="1"/>
  <c r="F22" i="1"/>
  <c r="G24" i="3" s="1"/>
  <c r="E22" i="1"/>
  <c r="F24" i="3" s="1"/>
  <c r="D22" i="1"/>
  <c r="E24" i="3" s="1"/>
  <c r="A22" i="1"/>
  <c r="H21" i="1"/>
  <c r="J23" i="3" s="1"/>
  <c r="G21" i="1"/>
  <c r="H23" i="3" s="1"/>
  <c r="F21" i="1"/>
  <c r="G23" i="3" s="1"/>
  <c r="E21" i="1"/>
  <c r="F23" i="3" s="1"/>
  <c r="D21" i="1"/>
  <c r="E23" i="3" s="1"/>
  <c r="A21" i="1"/>
  <c r="H20" i="1"/>
  <c r="J22" i="3" s="1"/>
  <c r="G20" i="1"/>
  <c r="H22" i="3" s="1"/>
  <c r="F20" i="1"/>
  <c r="G22" i="3" s="1"/>
  <c r="E20" i="1"/>
  <c r="F22" i="3" s="1"/>
  <c r="D20" i="1"/>
  <c r="E22" i="3" s="1"/>
  <c r="A20" i="1"/>
  <c r="H19" i="1"/>
  <c r="J21" i="3" s="1"/>
  <c r="G19" i="1"/>
  <c r="H21" i="3" s="1"/>
  <c r="F19" i="1"/>
  <c r="G21" i="3" s="1"/>
  <c r="E19" i="1"/>
  <c r="F21" i="3" s="1"/>
  <c r="D19" i="1"/>
  <c r="E21" i="3" s="1"/>
  <c r="A19" i="1"/>
  <c r="H18" i="1"/>
  <c r="J20" i="3" s="1"/>
  <c r="G18" i="1"/>
  <c r="H20" i="3" s="1"/>
  <c r="F18" i="1"/>
  <c r="G20" i="3" s="1"/>
  <c r="E18" i="1"/>
  <c r="F20" i="3" s="1"/>
  <c r="D18" i="1"/>
  <c r="E20" i="3" s="1"/>
  <c r="A18" i="1"/>
  <c r="H17" i="1"/>
  <c r="J19" i="3" s="1"/>
  <c r="G17" i="1"/>
  <c r="H19" i="3" s="1"/>
  <c r="F17" i="1"/>
  <c r="G19" i="3" s="1"/>
  <c r="E17" i="1"/>
  <c r="F19" i="3" s="1"/>
  <c r="D17" i="1"/>
  <c r="E19" i="3" s="1"/>
  <c r="A17" i="1"/>
  <c r="H16" i="1"/>
  <c r="J18" i="3" s="1"/>
  <c r="G16" i="1"/>
  <c r="H18" i="3" s="1"/>
  <c r="F16" i="1"/>
  <c r="G18" i="3" s="1"/>
  <c r="E16" i="1"/>
  <c r="F18" i="3" s="1"/>
  <c r="D16" i="1"/>
  <c r="E18" i="3" s="1"/>
  <c r="A16" i="1"/>
  <c r="H15" i="1"/>
  <c r="J17" i="3" s="1"/>
  <c r="G15" i="1"/>
  <c r="H17" i="3" s="1"/>
  <c r="F15" i="1"/>
  <c r="G17" i="3" s="1"/>
  <c r="E15" i="1"/>
  <c r="F17" i="3" s="1"/>
  <c r="D15" i="1"/>
  <c r="E17" i="3" s="1"/>
  <c r="A15" i="1"/>
  <c r="H14" i="1"/>
  <c r="J16" i="3" s="1"/>
  <c r="G14" i="1"/>
  <c r="H16" i="3" s="1"/>
  <c r="F14" i="1"/>
  <c r="G16" i="3" s="1"/>
  <c r="E14" i="1"/>
  <c r="F16" i="3" s="1"/>
  <c r="D14" i="1"/>
  <c r="E16" i="3" s="1"/>
  <c r="A14" i="1"/>
  <c r="H13" i="1"/>
  <c r="J15" i="3" s="1"/>
  <c r="G13" i="1"/>
  <c r="H15" i="3" s="1"/>
  <c r="F13" i="1"/>
  <c r="G15" i="3" s="1"/>
  <c r="E13" i="1"/>
  <c r="F15" i="3" s="1"/>
  <c r="D13" i="1"/>
  <c r="E15" i="3" s="1"/>
  <c r="A13" i="1"/>
  <c r="H12" i="1"/>
  <c r="J14" i="3" s="1"/>
  <c r="G12" i="1"/>
  <c r="H14" i="3" s="1"/>
  <c r="F12" i="1"/>
  <c r="G14" i="3" s="1"/>
  <c r="E12" i="1"/>
  <c r="F14" i="3" s="1"/>
  <c r="D12" i="1"/>
  <c r="E14" i="3" s="1"/>
  <c r="A12" i="1"/>
  <c r="H11" i="1"/>
  <c r="J13" i="3" s="1"/>
  <c r="G11" i="1"/>
  <c r="H13" i="3" s="1"/>
  <c r="F11" i="1"/>
  <c r="G13" i="3" s="1"/>
  <c r="E11" i="1"/>
  <c r="F13" i="3" s="1"/>
  <c r="D11" i="1"/>
  <c r="E13" i="3" s="1"/>
  <c r="A11" i="1"/>
  <c r="H10" i="1"/>
  <c r="J12" i="3" s="1"/>
  <c r="G10" i="1"/>
  <c r="H12" i="3" s="1"/>
  <c r="F10" i="1"/>
  <c r="G12" i="3" s="1"/>
  <c r="E10" i="1"/>
  <c r="F12" i="3" s="1"/>
  <c r="D10" i="1"/>
  <c r="E12" i="3" s="1"/>
  <c r="A10" i="1"/>
  <c r="H9" i="1"/>
  <c r="J11" i="3" s="1"/>
  <c r="G9" i="1"/>
  <c r="H11" i="3" s="1"/>
  <c r="F9" i="1"/>
  <c r="G11" i="3" s="1"/>
  <c r="E9" i="1"/>
  <c r="F11" i="3" s="1"/>
  <c r="D9" i="1"/>
  <c r="E11" i="3" s="1"/>
  <c r="A9" i="1"/>
  <c r="H8" i="1"/>
  <c r="J10" i="3" s="1"/>
  <c r="G8" i="1"/>
  <c r="H10" i="3" s="1"/>
  <c r="F8" i="1"/>
  <c r="G10" i="3" s="1"/>
  <c r="E8" i="1"/>
  <c r="F10" i="3" s="1"/>
  <c r="D8" i="1"/>
  <c r="E10" i="3" s="1"/>
  <c r="A8" i="1"/>
  <c r="H7" i="1"/>
  <c r="J9" i="3" s="1"/>
  <c r="G7" i="1"/>
  <c r="H9" i="3" s="1"/>
  <c r="F7" i="1"/>
  <c r="G9" i="3" s="1"/>
  <c r="E7" i="1"/>
  <c r="F9" i="3" s="1"/>
  <c r="D7" i="1"/>
  <c r="E9" i="3" s="1"/>
  <c r="A7" i="1"/>
  <c r="H6" i="1"/>
  <c r="J8" i="3" s="1"/>
  <c r="G6" i="1"/>
  <c r="H8" i="3" s="1"/>
  <c r="F6" i="1"/>
  <c r="G8" i="3" s="1"/>
  <c r="E6" i="1"/>
  <c r="F8" i="3" s="1"/>
  <c r="D6" i="1"/>
  <c r="E8" i="3" s="1"/>
  <c r="A6" i="1"/>
  <c r="H5" i="1"/>
  <c r="J7" i="3" s="1"/>
  <c r="G5" i="1"/>
  <c r="H7" i="3" s="1"/>
  <c r="F5" i="1"/>
  <c r="G7" i="3" s="1"/>
  <c r="E5" i="1"/>
  <c r="F7" i="3" s="1"/>
  <c r="D5" i="1"/>
  <c r="E7" i="3" s="1"/>
  <c r="A5" i="1"/>
  <c r="H4" i="1"/>
  <c r="J6" i="3" s="1"/>
  <c r="G4" i="1"/>
  <c r="H6" i="3" s="1"/>
  <c r="F4" i="1"/>
  <c r="G6" i="3" s="1"/>
  <c r="E4" i="1"/>
  <c r="F6" i="3" s="1"/>
  <c r="D4" i="1"/>
  <c r="E6" i="3" s="1"/>
  <c r="A4" i="1"/>
  <c r="H3" i="1"/>
  <c r="J5" i="3" s="1"/>
  <c r="G3" i="1"/>
  <c r="H5" i="3" s="1"/>
  <c r="F3" i="1"/>
  <c r="G5" i="3" s="1"/>
  <c r="E3" i="1"/>
  <c r="F5" i="3" s="1"/>
  <c r="D3" i="1"/>
  <c r="E5" i="3" s="1"/>
  <c r="A3" i="1"/>
  <c r="H2" i="1"/>
  <c r="J4" i="3" s="1"/>
  <c r="G2" i="1"/>
  <c r="H4" i="3" s="1"/>
  <c r="F2" i="1"/>
  <c r="G4" i="3" s="1"/>
  <c r="E2" i="1"/>
  <c r="F4" i="3" s="1"/>
  <c r="D2" i="1"/>
  <c r="E4" i="3" s="1"/>
  <c r="A2" i="1"/>
  <c r="B31" i="1" s="1"/>
  <c r="C31" i="1" s="1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D31" i="6" l="1"/>
  <c r="I22" i="3"/>
  <c r="I15" i="3"/>
  <c r="I25" i="3"/>
  <c r="I18" i="3"/>
  <c r="I8" i="3"/>
  <c r="I16" i="3"/>
  <c r="I7" i="3"/>
  <c r="I17" i="3"/>
  <c r="I4" i="3"/>
  <c r="I23" i="3"/>
  <c r="I6" i="3"/>
  <c r="I14" i="3"/>
  <c r="I26" i="3"/>
  <c r="I10" i="3"/>
  <c r="I24" i="3"/>
  <c r="A4" i="3"/>
  <c r="AC4" i="3" s="1"/>
  <c r="AD4" i="3" s="1"/>
  <c r="I9" i="3"/>
  <c r="I11" i="3"/>
  <c r="I19" i="3"/>
  <c r="I27" i="3"/>
  <c r="I12" i="3"/>
  <c r="I20" i="3"/>
  <c r="I5" i="3"/>
  <c r="I13" i="3"/>
  <c r="I21" i="3"/>
  <c r="D4" i="3" l="1"/>
  <c r="L4" i="3" l="1"/>
  <c r="H4" i="6" s="1"/>
  <c r="M4" i="3"/>
  <c r="K4" i="3"/>
  <c r="G4" i="6" s="1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C3" i="4"/>
  <c r="B3" i="4"/>
  <c r="E4" i="6" l="1"/>
  <c r="F4" i="6"/>
  <c r="A1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A5" i="3" l="1"/>
  <c r="AC5" i="3" s="1"/>
  <c r="A6" i="3"/>
  <c r="AC6" i="3" s="1"/>
  <c r="AD6" i="3" s="1"/>
  <c r="D6" i="3" s="1"/>
  <c r="A7" i="3"/>
  <c r="AC7" i="3" s="1"/>
  <c r="AD7" i="3" s="1"/>
  <c r="D7" i="3" s="1"/>
  <c r="A8" i="3"/>
  <c r="AC8" i="3" s="1"/>
  <c r="AD8" i="3" s="1"/>
  <c r="D8" i="3" s="1"/>
  <c r="A9" i="3"/>
  <c r="AC9" i="3" s="1"/>
  <c r="AD9" i="3" s="1"/>
  <c r="D9" i="3" s="1"/>
  <c r="A10" i="3"/>
  <c r="AC10" i="3" s="1"/>
  <c r="AD10" i="3" s="1"/>
  <c r="D10" i="3" s="1"/>
  <c r="A11" i="3"/>
  <c r="AC11" i="3" s="1"/>
  <c r="AD11" i="3" s="1"/>
  <c r="D11" i="3" s="1"/>
  <c r="A12" i="3"/>
  <c r="AC12" i="3" s="1"/>
  <c r="AD12" i="3" s="1"/>
  <c r="D12" i="3" s="1"/>
  <c r="A13" i="3"/>
  <c r="AC13" i="3" s="1"/>
  <c r="AD13" i="3" s="1"/>
  <c r="D13" i="3" s="1"/>
  <c r="A14" i="3"/>
  <c r="AC14" i="3" s="1"/>
  <c r="AD14" i="3" s="1"/>
  <c r="D14" i="3" s="1"/>
  <c r="A15" i="3"/>
  <c r="AC15" i="3" s="1"/>
  <c r="AD15" i="3" s="1"/>
  <c r="D15" i="3" s="1"/>
  <c r="A16" i="3"/>
  <c r="AC16" i="3" s="1"/>
  <c r="AD16" i="3" s="1"/>
  <c r="D16" i="3" s="1"/>
  <c r="A17" i="3"/>
  <c r="AC17" i="3" s="1"/>
  <c r="AD17" i="3" s="1"/>
  <c r="D17" i="3" s="1"/>
  <c r="A18" i="3"/>
  <c r="AC18" i="3" s="1"/>
  <c r="AD18" i="3" s="1"/>
  <c r="D18" i="3" s="1"/>
  <c r="A19" i="3"/>
  <c r="AC19" i="3" s="1"/>
  <c r="AD19" i="3" s="1"/>
  <c r="D19" i="3" s="1"/>
  <c r="A20" i="3"/>
  <c r="AC20" i="3" s="1"/>
  <c r="AD20" i="3" s="1"/>
  <c r="D20" i="3" s="1"/>
  <c r="A21" i="3"/>
  <c r="AC21" i="3" s="1"/>
  <c r="AD21" i="3" s="1"/>
  <c r="D21" i="3" s="1"/>
  <c r="A22" i="3"/>
  <c r="AC22" i="3" s="1"/>
  <c r="AD22" i="3" s="1"/>
  <c r="D22" i="3" s="1"/>
  <c r="A23" i="3"/>
  <c r="AC23" i="3" s="1"/>
  <c r="AD23" i="3" s="1"/>
  <c r="D23" i="3" s="1"/>
  <c r="A24" i="3"/>
  <c r="AC24" i="3" s="1"/>
  <c r="AD24" i="3" s="1"/>
  <c r="D24" i="3" s="1"/>
  <c r="A25" i="3"/>
  <c r="AC25" i="3" s="1"/>
  <c r="AD25" i="3" s="1"/>
  <c r="D25" i="3" s="1"/>
  <c r="A26" i="3"/>
  <c r="AC26" i="3" s="1"/>
  <c r="AD26" i="3" s="1"/>
  <c r="D26" i="3" s="1"/>
  <c r="A27" i="3"/>
  <c r="AC27" i="3" s="1"/>
  <c r="AD27" i="3" s="1"/>
  <c r="D27" i="3" s="1"/>
  <c r="M20" i="3" l="1"/>
  <c r="L20" i="3"/>
  <c r="H20" i="6" s="1"/>
  <c r="F20" i="6" s="1"/>
  <c r="K20" i="3"/>
  <c r="G20" i="6" s="1"/>
  <c r="E20" i="6" s="1"/>
  <c r="K11" i="3"/>
  <c r="G11" i="6" s="1"/>
  <c r="E11" i="6" s="1"/>
  <c r="L11" i="3"/>
  <c r="H11" i="6" s="1"/>
  <c r="F11" i="6" s="1"/>
  <c r="M11" i="3"/>
  <c r="L10" i="3"/>
  <c r="H10" i="6" s="1"/>
  <c r="F10" i="6" s="1"/>
  <c r="M10" i="3"/>
  <c r="K10" i="3"/>
  <c r="G10" i="6" s="1"/>
  <c r="E10" i="6" s="1"/>
  <c r="K9" i="3"/>
  <c r="G9" i="6" s="1"/>
  <c r="E9" i="6" s="1"/>
  <c r="L9" i="3"/>
  <c r="H9" i="6" s="1"/>
  <c r="F9" i="6" s="1"/>
  <c r="M9" i="3"/>
  <c r="K8" i="3"/>
  <c r="G8" i="6" s="1"/>
  <c r="E8" i="6" s="1"/>
  <c r="M8" i="3"/>
  <c r="L8" i="3"/>
  <c r="H8" i="6" s="1"/>
  <c r="F8" i="6" s="1"/>
  <c r="L15" i="3"/>
  <c r="H15" i="6" s="1"/>
  <c r="F15" i="6" s="1"/>
  <c r="M15" i="3"/>
  <c r="K15" i="3"/>
  <c r="G15" i="6" s="1"/>
  <c r="E15" i="6" s="1"/>
  <c r="L7" i="3"/>
  <c r="H7" i="6" s="1"/>
  <c r="F7" i="6" s="1"/>
  <c r="K7" i="3"/>
  <c r="G7" i="6" s="1"/>
  <c r="E7" i="6" s="1"/>
  <c r="M7" i="3"/>
  <c r="M12" i="3"/>
  <c r="K12" i="3"/>
  <c r="G12" i="6" s="1"/>
  <c r="E12" i="6" s="1"/>
  <c r="L12" i="3"/>
  <c r="H12" i="6" s="1"/>
  <c r="F12" i="6" s="1"/>
  <c r="K19" i="3"/>
  <c r="G19" i="6" s="1"/>
  <c r="E19" i="6" s="1"/>
  <c r="M19" i="3"/>
  <c r="L19" i="3"/>
  <c r="H19" i="6" s="1"/>
  <c r="F19" i="6" s="1"/>
  <c r="K18" i="3"/>
  <c r="G18" i="6" s="1"/>
  <c r="E18" i="6" s="1"/>
  <c r="L18" i="3"/>
  <c r="H18" i="6" s="1"/>
  <c r="F18" i="6" s="1"/>
  <c r="M18" i="3"/>
  <c r="L25" i="3"/>
  <c r="H25" i="6" s="1"/>
  <c r="F25" i="6" s="1"/>
  <c r="M25" i="3"/>
  <c r="K25" i="3"/>
  <c r="G25" i="6" s="1"/>
  <c r="E25" i="6" s="1"/>
  <c r="M24" i="3"/>
  <c r="K24" i="3"/>
  <c r="G24" i="6" s="1"/>
  <c r="E24" i="6" s="1"/>
  <c r="L24" i="3"/>
  <c r="H24" i="6" s="1"/>
  <c r="F24" i="6" s="1"/>
  <c r="L23" i="3"/>
  <c r="H23" i="6" s="1"/>
  <c r="F23" i="6" s="1"/>
  <c r="K23" i="3"/>
  <c r="G23" i="6" s="1"/>
  <c r="E23" i="6" s="1"/>
  <c r="M23" i="3"/>
  <c r="L22" i="3"/>
  <c r="H22" i="6" s="1"/>
  <c r="F22" i="6" s="1"/>
  <c r="M22" i="3"/>
  <c r="K22" i="3"/>
  <c r="G22" i="6" s="1"/>
  <c r="E22" i="6" s="1"/>
  <c r="M14" i="3"/>
  <c r="L14" i="3"/>
  <c r="H14" i="6" s="1"/>
  <c r="F14" i="6" s="1"/>
  <c r="K14" i="3"/>
  <c r="G14" i="6" s="1"/>
  <c r="E14" i="6" s="1"/>
  <c r="L6" i="3"/>
  <c r="H6" i="6" s="1"/>
  <c r="F6" i="6" s="1"/>
  <c r="M6" i="3"/>
  <c r="K6" i="3"/>
  <c r="G6" i="6" s="1"/>
  <c r="E6" i="6" s="1"/>
  <c r="K27" i="3"/>
  <c r="G27" i="6" s="1"/>
  <c r="E27" i="6" s="1"/>
  <c r="L27" i="3"/>
  <c r="H27" i="6" s="1"/>
  <c r="F27" i="6" s="1"/>
  <c r="M27" i="3"/>
  <c r="K26" i="3"/>
  <c r="G26" i="6" s="1"/>
  <c r="E26" i="6" s="1"/>
  <c r="M26" i="3"/>
  <c r="L26" i="3"/>
  <c r="H26" i="6" s="1"/>
  <c r="F26" i="6" s="1"/>
  <c r="K17" i="3"/>
  <c r="G17" i="6" s="1"/>
  <c r="E17" i="6" s="1"/>
  <c r="M17" i="3"/>
  <c r="L17" i="3"/>
  <c r="H17" i="6" s="1"/>
  <c r="F17" i="6" s="1"/>
  <c r="K16" i="3"/>
  <c r="G16" i="6" s="1"/>
  <c r="E16" i="6" s="1"/>
  <c r="M16" i="3"/>
  <c r="L16" i="3"/>
  <c r="H16" i="6" s="1"/>
  <c r="F16" i="6" s="1"/>
  <c r="M21" i="3"/>
  <c r="L21" i="3"/>
  <c r="H21" i="6" s="1"/>
  <c r="F21" i="6" s="1"/>
  <c r="K21" i="3"/>
  <c r="G21" i="6" s="1"/>
  <c r="E21" i="6" s="1"/>
  <c r="M13" i="3"/>
  <c r="K13" i="3"/>
  <c r="G13" i="6" s="1"/>
  <c r="E13" i="6" s="1"/>
  <c r="L13" i="3"/>
  <c r="H13" i="6" s="1"/>
  <c r="F13" i="6" s="1"/>
  <c r="AD5" i="3"/>
  <c r="AC29" i="3"/>
  <c r="A11" i="4"/>
  <c r="A18" i="4"/>
  <c r="D25" i="4"/>
  <c r="A25" i="4"/>
  <c r="D17" i="4"/>
  <c r="A17" i="4"/>
  <c r="A24" i="4"/>
  <c r="A16" i="4"/>
  <c r="A23" i="4"/>
  <c r="D7" i="4"/>
  <c r="A7" i="4"/>
  <c r="D14" i="4"/>
  <c r="A14" i="4"/>
  <c r="A6" i="4"/>
  <c r="D21" i="4"/>
  <c r="A21" i="4"/>
  <c r="D13" i="4"/>
  <c r="A13" i="4"/>
  <c r="D5" i="4"/>
  <c r="A5" i="4"/>
  <c r="A19" i="4"/>
  <c r="A26" i="4"/>
  <c r="D10" i="4"/>
  <c r="A10" i="4"/>
  <c r="D9" i="4"/>
  <c r="A9" i="4"/>
  <c r="D8" i="4"/>
  <c r="A8" i="4"/>
  <c r="D15" i="4"/>
  <c r="A15" i="4"/>
  <c r="D22" i="4"/>
  <c r="A22" i="4"/>
  <c r="D20" i="4"/>
  <c r="A20" i="4"/>
  <c r="A12" i="4"/>
  <c r="A4" i="4"/>
  <c r="D19" i="4"/>
  <c r="D26" i="4"/>
  <c r="D18" i="4"/>
  <c r="D11" i="4"/>
  <c r="D3" i="4"/>
  <c r="D24" i="4"/>
  <c r="D16" i="4"/>
  <c r="D12" i="4"/>
  <c r="D5" i="3" l="1"/>
  <c r="AD29" i="3"/>
  <c r="H3" i="4"/>
  <c r="G3" i="4"/>
  <c r="G5" i="4"/>
  <c r="H5" i="4"/>
  <c r="G25" i="4"/>
  <c r="H25" i="4"/>
  <c r="H14" i="4"/>
  <c r="G14" i="4"/>
  <c r="G21" i="4"/>
  <c r="H21" i="4"/>
  <c r="H10" i="4"/>
  <c r="G10" i="4"/>
  <c r="H24" i="4"/>
  <c r="G24" i="4"/>
  <c r="H9" i="4"/>
  <c r="G9" i="4"/>
  <c r="D6" i="4"/>
  <c r="H22" i="4"/>
  <c r="G22" i="4"/>
  <c r="H7" i="4"/>
  <c r="G7" i="4"/>
  <c r="H18" i="4"/>
  <c r="G18" i="4"/>
  <c r="G11" i="4"/>
  <c r="H11" i="4"/>
  <c r="H17" i="4"/>
  <c r="G17" i="4"/>
  <c r="H8" i="4"/>
  <c r="G8" i="4"/>
  <c r="H15" i="4"/>
  <c r="G15" i="4"/>
  <c r="H26" i="4"/>
  <c r="G26" i="4"/>
  <c r="H12" i="4"/>
  <c r="G12" i="4"/>
  <c r="H20" i="4"/>
  <c r="G20" i="4"/>
  <c r="G13" i="4"/>
  <c r="H13" i="4"/>
  <c r="H16" i="4"/>
  <c r="G16" i="4"/>
  <c r="D23" i="4"/>
  <c r="G19" i="4"/>
  <c r="H19" i="4"/>
  <c r="D33" i="3"/>
  <c r="D32" i="3"/>
  <c r="D28" i="3"/>
  <c r="J31" i="3"/>
  <c r="D4" i="4" l="1"/>
  <c r="M5" i="3"/>
  <c r="L5" i="3"/>
  <c r="H5" i="6" s="1"/>
  <c r="K5" i="3"/>
  <c r="G5" i="6" s="1"/>
  <c r="H33" i="3"/>
  <c r="E35" i="3"/>
  <c r="H6" i="4"/>
  <c r="G6" i="4"/>
  <c r="H23" i="4"/>
  <c r="G23" i="4"/>
  <c r="G32" i="3"/>
  <c r="G33" i="3"/>
  <c r="H32" i="3"/>
  <c r="M28" i="3"/>
  <c r="M30" i="3" s="1"/>
  <c r="F33" i="3"/>
  <c r="L32" i="3"/>
  <c r="F32" i="3"/>
  <c r="F28" i="3"/>
  <c r="G28" i="3"/>
  <c r="E36" i="3"/>
  <c r="G31" i="6" l="1"/>
  <c r="E5" i="6"/>
  <c r="G28" i="6"/>
  <c r="F5" i="6"/>
  <c r="H31" i="6"/>
  <c r="H28" i="6"/>
  <c r="G4" i="4"/>
  <c r="H4" i="4"/>
  <c r="E31" i="3"/>
  <c r="L28" i="3"/>
  <c r="L29" i="3" s="1"/>
  <c r="L33" i="3"/>
  <c r="L34" i="3" s="1"/>
  <c r="H28" i="3"/>
  <c r="F29" i="3" s="1"/>
  <c r="I36" i="3"/>
  <c r="I35" i="3"/>
  <c r="F34" i="3"/>
  <c r="F32" i="6" l="1"/>
  <c r="F33" i="6"/>
  <c r="F34" i="6"/>
  <c r="E33" i="6"/>
  <c r="E32" i="6"/>
  <c r="E34" i="6"/>
  <c r="L30" i="3"/>
</calcChain>
</file>

<file path=xl/sharedStrings.xml><?xml version="1.0" encoding="utf-8"?>
<sst xmlns="http://schemas.openxmlformats.org/spreadsheetml/2006/main" count="193" uniqueCount="86">
  <si>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</si>
  <si>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</si>
  <si>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</si>
  <si>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</si>
  <si>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</si>
  <si>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</si>
  <si>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</si>
  <si>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</si>
  <si>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Average Nox, TPD</t>
  </si>
  <si>
    <t>Sub Total Annual in US short Tons</t>
  </si>
  <si>
    <t xml:space="preserve"> </t>
  </si>
  <si>
    <t>Annual PM2.5</t>
  </si>
  <si>
    <t>Sub-total Annual in US short Tons(direct PM including Total, Brake,&amp; Tire)</t>
  </si>
  <si>
    <t>Ozone</t>
  </si>
  <si>
    <t>Average daily in US short tons</t>
  </si>
  <si>
    <t>Maxmum daily in short tons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</si>
  <si>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</si>
  <si>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</si>
  <si>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</si>
  <si>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</si>
  <si>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</si>
  <si>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</si>
  <si>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Total days</t>
  </si>
  <si>
    <t>sub-days</t>
  </si>
  <si>
    <t>Average VOC, TPD</t>
  </si>
  <si>
    <t>Code for Weekend/ Weekday</t>
  </si>
  <si>
    <t>Days in a month  for Weekends or Weekdays</t>
  </si>
  <si>
    <t>Subtotal NOx</t>
  </si>
  <si>
    <t>subtotal 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</si>
  <si>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</si>
  <si>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</si>
  <si>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</si>
  <si>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</si>
  <si>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</si>
  <si>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</si>
  <si>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</si>
  <si>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</si>
  <si>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</si>
  <si>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</si>
  <si>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</si>
  <si>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</si>
  <si>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</si>
  <si>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Mass Units</t>
  </si>
  <si>
    <t>Energy Units</t>
  </si>
  <si>
    <t>Distance Units</t>
  </si>
  <si>
    <t>mi</t>
  </si>
  <si>
    <t>Time Units</t>
  </si>
  <si>
    <t>Unit</t>
  </si>
  <si>
    <t>Kilograms/Day</t>
  </si>
  <si>
    <t>Kilograms per weekend or per weekday (per day only)</t>
  </si>
  <si>
    <t>Grams per weekend or per weekday (per day only)</t>
  </si>
  <si>
    <t>Kilograms</t>
  </si>
  <si>
    <t>Original Grams output from MOVES2014B in year 2024 from January to December by average total of 2 weekends or average total of 5 weekdays.</t>
  </si>
  <si>
    <t>KG</t>
  </si>
  <si>
    <t>GRAM</t>
  </si>
  <si>
    <t>g</t>
  </si>
  <si>
    <t>J</t>
  </si>
  <si>
    <t>hour</t>
  </si>
  <si>
    <t>In US Short Tons for all weekends or for all weekdays in a month (1 kilogram = 0.00110231131 US Short Tons)</t>
  </si>
  <si>
    <t>Days in a month for weekends/  weekdays</t>
  </si>
  <si>
    <t xml:space="preserve">Total_ PM2.5 </t>
  </si>
  <si>
    <t>Brake_ PM2.5</t>
  </si>
  <si>
    <t>Tire_ PM2.5</t>
  </si>
  <si>
    <t>Direct PM 2.5 (Total+ Brake+Tire)</t>
  </si>
  <si>
    <t>Subtotal  of Direct PM2.5</t>
  </si>
  <si>
    <t>Subtotal of NOx</t>
  </si>
  <si>
    <t>Subtotal of VOC</t>
  </si>
  <si>
    <t>US Short Tons Per Day (TPD) based on MOVES output</t>
  </si>
  <si>
    <t>US Short Tons for all weekends or all weekdays in a month</t>
  </si>
  <si>
    <t>Shelby</t>
  </si>
  <si>
    <t>Note: Shelby 2015 HPMS 2015 with Model adjusted factors based on the base year 2015 for the new 2045RTP, the latest existing data sets as Jan.5, 2019</t>
  </si>
  <si>
    <t>Direct PM2.5</t>
  </si>
  <si>
    <t>US Short Tons Per Day (Tons/Day) based on MOVES output</t>
  </si>
  <si>
    <t>Total for the whole year</t>
  </si>
  <si>
    <t>Total PM 2.5</t>
  </si>
  <si>
    <t>All PM 2.5</t>
  </si>
  <si>
    <t>all Nox</t>
  </si>
  <si>
    <t>Maxmum weekend/weekday in short tons</t>
  </si>
  <si>
    <t>M14B2045RTP_Shel2017_Out_Inventory190108</t>
  </si>
  <si>
    <t>C:\workspace\MOVES2014B\MOVES2014b_AQCD_201805\M2014B_RUN_FILE\M2014B2045RTP_RunFile_20190107\Run_Shel2017of2045RTP_inventory_PM25_Ozone_20190108</t>
  </si>
  <si>
    <t>Shelby County Year 2017 of 2045RTP AQCD, Inventory on PM 2.5 and Ozone, updated 20190108,20190115</t>
  </si>
  <si>
    <t>AVG KG/DAY</t>
  </si>
  <si>
    <t>AVG TON/DAY</t>
  </si>
  <si>
    <t>PM2.5</t>
  </si>
  <si>
    <t>Brake</t>
  </si>
  <si>
    <t>Tire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</si>
</sst>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000"/>
    <numFmt numFmtId="167" formatCode="[$-409]m/d/yy\ h:mm\ AM/PM;@"/>
    <numFmt numFmtId="168" formatCode="0.000"/>
    <numFmt numFmtId="169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  <font>
      <sz val="11"/>
      <color rgb="FF00B05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18" fillId="0" borderId="0" xfId="0" applyFont="1"/>
    <xf numFmtId="4" fontId="18" fillId="0" borderId="0" xfId="0" applyNumberFormat="1" applyFont="1"/>
    <xf numFmtId="164" fontId="18" fillId="0" borderId="0" xfId="42" applyNumberFormat="1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quotePrefix="1" applyFont="1"/>
    <xf numFmtId="43" fontId="18" fillId="0" borderId="0" xfId="0" applyNumberFormat="1" applyFont="1"/>
    <xf numFmtId="164" fontId="18" fillId="0" borderId="0" xfId="0" applyNumberFormat="1" applyFont="1"/>
    <xf numFmtId="43" fontId="20" fillId="0" borderId="0" xfId="42" applyFont="1"/>
    <xf numFmtId="0" fontId="21" fillId="0" borderId="0" xfId="0" applyFont="1"/>
    <xf numFmtId="43" fontId="20" fillId="0" borderId="0" xfId="0" applyNumberFormat="1" applyFont="1"/>
    <xf numFmtId="0" fontId="22" fillId="0" borderId="0" xfId="0" applyFont="1" applyAlignment="1">
      <alignment horizontal="right" vertical="top"/>
    </xf>
    <xf numFmtId="43" fontId="23" fillId="0" borderId="0" xfId="0" applyNumberFormat="1" applyFont="1"/>
    <xf numFmtId="4" fontId="24" fillId="0" borderId="0" xfId="0" applyNumberFormat="1" applyFont="1"/>
    <xf numFmtId="4" fontId="23" fillId="0" borderId="0" xfId="0" applyNumberFormat="1" applyFont="1"/>
    <xf numFmtId="0" fontId="23" fillId="0" borderId="0" xfId="0" applyFont="1"/>
    <xf numFmtId="165" fontId="25" fillId="0" borderId="0" xfId="42" quotePrefix="1" applyNumberFormat="1" applyFont="1"/>
    <xf numFmtId="164" fontId="25" fillId="0" borderId="0" xfId="42" quotePrefix="1" applyNumberFormat="1" applyFont="1"/>
    <xf numFmtId="43" fontId="26" fillId="0" borderId="0" xfId="42" applyNumberFormat="1" applyFont="1"/>
    <xf numFmtId="0" fontId="26" fillId="0" borderId="0" xfId="0" applyFont="1"/>
    <xf numFmtId="165" fontId="26" fillId="0" borderId="0" xfId="42" quotePrefix="1" applyNumberFormat="1" applyFont="1"/>
    <xf numFmtId="39" fontId="26" fillId="0" borderId="0" xfId="42" quotePrefix="1" applyNumberFormat="1" applyFont="1"/>
    <xf numFmtId="0" fontId="0" fillId="0" borderId="0" xfId="0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6" fillId="0" borderId="10" xfId="0" applyFont="1" applyBorder="1" applyAlignment="1">
      <alignment horizontal="center" vertical="center" textRotation="90" wrapText="1"/>
    </xf>
    <xf numFmtId="0" fontId="0" fillId="0" borderId="10" xfId="0" applyBorder="1"/>
    <xf numFmtId="166" fontId="0" fillId="0" borderId="10" xfId="0" applyNumberFormat="1" applyBorder="1"/>
    <xf numFmtId="22" fontId="0" fillId="0" borderId="0" xfId="0" applyNumberFormat="1"/>
    <xf numFmtId="167" fontId="0" fillId="0" borderId="0" xfId="0" applyNumberFormat="1"/>
    <xf numFmtId="0" fontId="14" fillId="0" borderId="0" xfId="0" applyFont="1"/>
    <xf numFmtId="0" fontId="27" fillId="0" borderId="0" xfId="0" applyFont="1"/>
    <xf numFmtId="164" fontId="0" fillId="0" borderId="0" xfId="0" applyNumberFormat="1"/>
    <xf numFmtId="164" fontId="14" fillId="0" borderId="0" xfId="0" applyNumberFormat="1" applyFont="1"/>
    <xf numFmtId="164" fontId="27" fillId="0" borderId="0" xfId="0" applyNumberFormat="1" applyFont="1"/>
    <xf numFmtId="168" fontId="0" fillId="0" borderId="10" xfId="0" applyNumberFormat="1" applyBorder="1"/>
    <xf numFmtId="1" fontId="18" fillId="0" borderId="0" xfId="0" applyNumberFormat="1" applyFont="1"/>
    <xf numFmtId="0" fontId="19" fillId="0" borderId="10" xfId="0" applyFont="1" applyBorder="1" applyAlignment="1">
      <alignment horizontal="center" vertical="center" textRotation="90" wrapText="1"/>
    </xf>
    <xf numFmtId="4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/>
    <xf numFmtId="0" fontId="18" fillId="0" borderId="10" xfId="0" applyFont="1" applyBorder="1" applyAlignment="1">
      <alignment wrapText="1"/>
    </xf>
    <xf numFmtId="164" fontId="18" fillId="0" borderId="10" xfId="42" quotePrefix="1" applyNumberFormat="1" applyFont="1" applyBorder="1"/>
    <xf numFmtId="43" fontId="18" fillId="0" borderId="10" xfId="42" applyNumberFormat="1" applyFont="1" applyBorder="1"/>
    <xf numFmtId="4" fontId="18" fillId="0" borderId="10" xfId="0" applyNumberFormat="1" applyFont="1" applyBorder="1"/>
    <xf numFmtId="0" fontId="19" fillId="0" borderId="10" xfId="0" applyFont="1" applyBorder="1" applyAlignment="1">
      <alignment horizontal="center" vertical="center" textRotation="90" wrapText="1"/>
    </xf>
    <xf numFmtId="0" fontId="19" fillId="0" borderId="0" xfId="0" applyFont="1" applyAlignment="1">
      <alignment horizontal="center" vertical="center" textRotation="90" wrapText="1"/>
    </xf>
    <xf numFmtId="1" fontId="18" fillId="0" borderId="10" xfId="42" quotePrefix="1" applyNumberFormat="1" applyFont="1" applyBorder="1"/>
    <xf numFmtId="169" fontId="18" fillId="0" borderId="10" xfId="42" applyNumberFormat="1" applyFont="1" applyBorder="1"/>
    <xf numFmtId="43" fontId="18" fillId="0" borderId="0" xfId="42" applyNumberFormat="1" applyFont="1"/>
    <xf numFmtId="0" fontId="18" fillId="0" borderId="0" xfId="0" applyFont="1" applyBorder="1"/>
    <xf numFmtId="0" fontId="18" fillId="0" borderId="0" xfId="0" applyFont="1" applyBorder="1" applyAlignment="1">
      <alignment wrapText="1"/>
    </xf>
    <xf numFmtId="1" fontId="18" fillId="0" borderId="0" xfId="42" quotePrefix="1" applyNumberFormat="1" applyFont="1" applyBorder="1"/>
    <xf numFmtId="169" fontId="18" fillId="0" borderId="0" xfId="42" applyNumberFormat="1" applyFont="1" applyBorder="1"/>
    <xf numFmtId="168" fontId="0" fillId="0" borderId="0" xfId="0" applyNumberFormat="1" applyBorder="1"/>
    <xf numFmtId="1" fontId="18" fillId="0" borderId="0" xfId="42" quotePrefix="1" applyNumberFormat="1" applyFont="1"/>
    <xf numFmtId="168" fontId="18" fillId="0" borderId="0" xfId="42" applyNumberFormat="1" applyFont="1"/>
    <xf numFmtId="168" fontId="0" fillId="0" borderId="0" xfId="0" applyNumberFormat="1"/>
    <xf numFmtId="166" fontId="18" fillId="0" borderId="0" xfId="0" applyNumberFormat="1" applyFont="1"/>
    <xf numFmtId="166" fontId="28" fillId="0" borderId="0" xfId="0" applyNumberFormat="1" applyFont="1"/>
    <xf numFmtId="1" fontId="26" fillId="0" borderId="0" xfId="0" applyNumberFormat="1" applyFont="1"/>
    <xf numFmtId="166" fontId="26" fillId="0" borderId="0" xfId="42" quotePrefix="1" applyNumberFormat="1" applyFont="1"/>
    <xf numFmtId="166" fontId="0" fillId="0" borderId="0" xfId="0" applyNumberFormat="1"/>
    <xf numFmtId="1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1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14" xfId="0" applyBorder="1"/>
    <xf numFmtId="0" fontId="16" fillId="0" borderId="10" xfId="0" applyFont="1" applyBorder="1"/>
    <xf numFmtId="0" fontId="16" fillId="0" borderId="11" xfId="0" applyFont="1" applyBorder="1"/>
    <xf numFmtId="0" fontId="0" fillId="0" borderId="10" xfId="0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A5" workbookViewId="0">
      <selection activeCell="G34" sqref="G34"/>
    </sheetView>
  </sheetViews>
  <sheetFormatPr defaultRowHeight="15" x14ac:dyDescent="0.25"/>
  <cols>
    <col min="1" max="1" width="5.7109375" customWidth="1"/>
    <col min="2" max="2" width="7.42578125" bestFit="1" customWidth="1"/>
    <col min="3" max="3" width="5.42578125" customWidth="1"/>
    <col min="5" max="5" width="12.140625" bestFit="1" customWidth="1"/>
    <col min="6" max="6" width="13.7109375" bestFit="1" customWidth="1"/>
    <col min="7" max="7" width="11.140625" customWidth="1"/>
    <col min="9" max="9" width="14" bestFit="1" customWidth="1"/>
  </cols>
  <sheetData>
    <row r="1" spans="1:17" x14ac:dyDescent="0.2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47</v>
      </c>
      <c r="J1" s="26" t="s">
        <v>0</v>
      </c>
      <c r="K1" s="26" t="s">
        <v>1</v>
      </c>
      <c r="L1" s="26" t="s">
        <v>2</v>
      </c>
      <c r="M1" s="26" t="s">
        <v>3</v>
      </c>
      <c r="N1" s="26" t="s">
        <v>4</v>
      </c>
      <c r="O1" s="26" t="s">
        <v>5</v>
      </c>
      <c r="P1" s="26" t="s">
        <v>6</v>
      </c>
      <c r="Q1" s="26" t="s">
        <v>7</v>
      </c>
    </row>
    <row r="2" spans="1:17" x14ac:dyDescent="0.25">
      <c r="A2" s="26">
        <f>J2</f>
        <v>2017</v>
      </c>
      <c r="B2" s="26">
        <v>1</v>
      </c>
      <c r="C2" s="26">
        <v>2</v>
      </c>
      <c r="D2" s="26">
        <f>M2/1000</f>
        <v>4740.0249999999996</v>
      </c>
      <c r="E2" s="26">
        <f t="shared" ref="E2:H17" si="0">N2/1000</f>
        <v>137.10599999999999</v>
      </c>
      <c r="F2" s="26">
        <f t="shared" si="0"/>
        <v>13.202999999999999</v>
      </c>
      <c r="G2" s="26">
        <f t="shared" si="0"/>
        <v>5.9089999999999998</v>
      </c>
      <c r="H2" s="26">
        <f t="shared" si="0"/>
        <v>2711.0309999999999</v>
      </c>
      <c r="I2" s="26" t="s">
        <v>48</v>
      </c>
      <c r="J2" s="26">
        <v>2017</v>
      </c>
      <c r="K2" s="26">
        <v>1</v>
      </c>
      <c r="L2" s="26">
        <v>2</v>
      </c>
      <c r="M2" s="26">
        <v>4740025</v>
      </c>
      <c r="N2" s="26">
        <v>137106</v>
      </c>
      <c r="O2" s="26">
        <v>13203</v>
      </c>
      <c r="P2" s="26">
        <v>5909</v>
      </c>
      <c r="Q2" s="26">
        <v>2711031</v>
      </c>
    </row>
    <row r="3" spans="1:17" x14ac:dyDescent="0.25">
      <c r="A3" s="26">
        <f t="shared" ref="A3:A25" si="1">J3</f>
        <v>2017</v>
      </c>
      <c r="B3" s="26">
        <v>1</v>
      </c>
      <c r="C3" s="26">
        <v>5</v>
      </c>
      <c r="D3" s="26">
        <f t="shared" ref="D3:H25" si="2">M3/1000</f>
        <v>6280.9849999999997</v>
      </c>
      <c r="E3" s="26">
        <f t="shared" si="0"/>
        <v>205.232</v>
      </c>
      <c r="F3" s="26">
        <f t="shared" si="0"/>
        <v>26.012</v>
      </c>
      <c r="G3" s="26">
        <f t="shared" si="0"/>
        <v>9.1669999999999998</v>
      </c>
      <c r="H3" s="26">
        <f t="shared" si="0"/>
        <v>3317.3209999999999</v>
      </c>
      <c r="I3" s="26" t="s">
        <v>48</v>
      </c>
      <c r="J3" s="26">
        <v>2017</v>
      </c>
      <c r="K3" s="26">
        <v>1</v>
      </c>
      <c r="L3" s="26">
        <v>5</v>
      </c>
      <c r="M3" s="26">
        <v>6280985</v>
      </c>
      <c r="N3" s="26">
        <v>205232</v>
      </c>
      <c r="O3" s="26">
        <v>26012</v>
      </c>
      <c r="P3" s="26">
        <v>9167</v>
      </c>
      <c r="Q3" s="26">
        <v>3317321</v>
      </c>
    </row>
    <row r="4" spans="1:17" x14ac:dyDescent="0.25">
      <c r="A4" s="26">
        <f t="shared" si="1"/>
        <v>2017</v>
      </c>
      <c r="B4" s="26">
        <v>2</v>
      </c>
      <c r="C4" s="26">
        <v>2</v>
      </c>
      <c r="D4" s="26">
        <f t="shared" si="2"/>
        <v>4515.51</v>
      </c>
      <c r="E4" s="26">
        <f t="shared" si="0"/>
        <v>127.92700000000001</v>
      </c>
      <c r="F4" s="26">
        <f t="shared" si="0"/>
        <v>13.121</v>
      </c>
      <c r="G4" s="26">
        <f t="shared" si="0"/>
        <v>5.7489999999999997</v>
      </c>
      <c r="H4" s="26">
        <f t="shared" si="0"/>
        <v>2663.8560000000002</v>
      </c>
      <c r="I4" s="26" t="s">
        <v>48</v>
      </c>
      <c r="J4" s="26">
        <v>2017</v>
      </c>
      <c r="K4" s="26">
        <v>2</v>
      </c>
      <c r="L4" s="26">
        <v>2</v>
      </c>
      <c r="M4" s="26">
        <v>4515510</v>
      </c>
      <c r="N4" s="26">
        <v>127927</v>
      </c>
      <c r="O4" s="26">
        <v>13121</v>
      </c>
      <c r="P4" s="26">
        <v>5749</v>
      </c>
      <c r="Q4" s="26">
        <v>2663856</v>
      </c>
    </row>
    <row r="5" spans="1:17" x14ac:dyDescent="0.25">
      <c r="A5" s="26">
        <f t="shared" si="1"/>
        <v>2017</v>
      </c>
      <c r="B5" s="26">
        <v>2</v>
      </c>
      <c r="C5" s="26">
        <v>5</v>
      </c>
      <c r="D5" s="26">
        <f t="shared" si="2"/>
        <v>6219.7470000000003</v>
      </c>
      <c r="E5" s="26">
        <f t="shared" si="0"/>
        <v>200.33500000000001</v>
      </c>
      <c r="F5" s="26">
        <f t="shared" si="0"/>
        <v>25.968</v>
      </c>
      <c r="G5" s="26">
        <f t="shared" si="0"/>
        <v>9.1969999999999992</v>
      </c>
      <c r="H5" s="26">
        <f t="shared" si="0"/>
        <v>3293.5479999999998</v>
      </c>
      <c r="I5" s="26" t="s">
        <v>48</v>
      </c>
      <c r="J5" s="26">
        <v>2017</v>
      </c>
      <c r="K5" s="26">
        <v>2</v>
      </c>
      <c r="L5" s="26">
        <v>5</v>
      </c>
      <c r="M5" s="26">
        <v>6219747</v>
      </c>
      <c r="N5" s="26">
        <v>200335</v>
      </c>
      <c r="O5" s="26">
        <v>25968</v>
      </c>
      <c r="P5" s="26">
        <v>9197</v>
      </c>
      <c r="Q5" s="26">
        <v>3293548</v>
      </c>
    </row>
    <row r="6" spans="1:17" x14ac:dyDescent="0.25">
      <c r="A6" s="26">
        <f t="shared" si="1"/>
        <v>2017</v>
      </c>
      <c r="B6" s="26">
        <v>3</v>
      </c>
      <c r="C6" s="26">
        <v>2</v>
      </c>
      <c r="D6" s="26">
        <f t="shared" si="2"/>
        <v>5270.8490000000002</v>
      </c>
      <c r="E6" s="26">
        <f t="shared" si="0"/>
        <v>149.12</v>
      </c>
      <c r="F6" s="26">
        <f t="shared" si="0"/>
        <v>15.263</v>
      </c>
      <c r="G6" s="26">
        <f t="shared" si="0"/>
        <v>6.8719999999999999</v>
      </c>
      <c r="H6" s="26">
        <f t="shared" si="0"/>
        <v>2824.8229999999999</v>
      </c>
      <c r="I6" s="26" t="s">
        <v>48</v>
      </c>
      <c r="J6" s="26">
        <v>2017</v>
      </c>
      <c r="K6" s="26">
        <v>3</v>
      </c>
      <c r="L6" s="26">
        <v>2</v>
      </c>
      <c r="M6" s="26">
        <v>5270849</v>
      </c>
      <c r="N6" s="26">
        <v>149120</v>
      </c>
      <c r="O6" s="26">
        <v>15263</v>
      </c>
      <c r="P6" s="26">
        <v>6872</v>
      </c>
      <c r="Q6" s="26">
        <v>2824823</v>
      </c>
    </row>
    <row r="7" spans="1:17" x14ac:dyDescent="0.25">
      <c r="A7" s="26">
        <f t="shared" si="1"/>
        <v>2017</v>
      </c>
      <c r="B7" s="26">
        <v>3</v>
      </c>
      <c r="C7" s="26">
        <v>5</v>
      </c>
      <c r="D7" s="26">
        <f t="shared" si="2"/>
        <v>6715.3440000000001</v>
      </c>
      <c r="E7" s="26">
        <f t="shared" si="0"/>
        <v>214.404</v>
      </c>
      <c r="F7" s="26">
        <f t="shared" si="0"/>
        <v>28.779</v>
      </c>
      <c r="G7" s="26">
        <f t="shared" si="0"/>
        <v>10.130000000000001</v>
      </c>
      <c r="H7" s="26">
        <f t="shared" si="0"/>
        <v>3415.7849999999999</v>
      </c>
      <c r="I7" s="26" t="s">
        <v>48</v>
      </c>
      <c r="J7" s="26">
        <v>2017</v>
      </c>
      <c r="K7" s="26">
        <v>3</v>
      </c>
      <c r="L7" s="26">
        <v>5</v>
      </c>
      <c r="M7" s="26">
        <v>6715344</v>
      </c>
      <c r="N7" s="26">
        <v>214404</v>
      </c>
      <c r="O7" s="26">
        <v>28779</v>
      </c>
      <c r="P7" s="26">
        <v>10130</v>
      </c>
      <c r="Q7" s="26">
        <v>3415785</v>
      </c>
    </row>
    <row r="8" spans="1:17" x14ac:dyDescent="0.25">
      <c r="A8" s="26">
        <f t="shared" si="1"/>
        <v>2017</v>
      </c>
      <c r="B8" s="26">
        <v>4</v>
      </c>
      <c r="C8" s="26">
        <v>2</v>
      </c>
      <c r="D8" s="26">
        <f t="shared" si="2"/>
        <v>5242.0540000000001</v>
      </c>
      <c r="E8" s="26">
        <f t="shared" si="0"/>
        <v>150.64500000000001</v>
      </c>
      <c r="F8" s="26">
        <f t="shared" si="0"/>
        <v>16.335000000000001</v>
      </c>
      <c r="G8" s="26">
        <f t="shared" si="0"/>
        <v>7.2839999999999998</v>
      </c>
      <c r="H8" s="26">
        <f t="shared" si="0"/>
        <v>2999.0920000000001</v>
      </c>
      <c r="I8" s="26" t="s">
        <v>48</v>
      </c>
      <c r="J8" s="26">
        <v>2017</v>
      </c>
      <c r="K8" s="26">
        <v>4</v>
      </c>
      <c r="L8" s="26">
        <v>2</v>
      </c>
      <c r="M8" s="26">
        <v>5242054</v>
      </c>
      <c r="N8" s="26">
        <v>150645</v>
      </c>
      <c r="O8" s="26">
        <v>16335</v>
      </c>
      <c r="P8" s="26">
        <v>7284</v>
      </c>
      <c r="Q8" s="26">
        <v>2999092</v>
      </c>
    </row>
    <row r="9" spans="1:17" x14ac:dyDescent="0.25">
      <c r="A9" s="26">
        <f t="shared" si="1"/>
        <v>2017</v>
      </c>
      <c r="B9" s="26">
        <v>4</v>
      </c>
      <c r="C9" s="26">
        <v>5</v>
      </c>
      <c r="D9" s="26">
        <f t="shared" si="2"/>
        <v>6531.96</v>
      </c>
      <c r="E9" s="26">
        <f t="shared" si="0"/>
        <v>211.18</v>
      </c>
      <c r="F9" s="26">
        <f t="shared" si="0"/>
        <v>29.384</v>
      </c>
      <c r="G9" s="26">
        <f t="shared" si="0"/>
        <v>10.364000000000001</v>
      </c>
      <c r="H9" s="26">
        <f t="shared" si="0"/>
        <v>3556.6750000000002</v>
      </c>
      <c r="I9" s="26" t="s">
        <v>48</v>
      </c>
      <c r="J9" s="26">
        <v>2017</v>
      </c>
      <c r="K9" s="26">
        <v>4</v>
      </c>
      <c r="L9" s="26">
        <v>5</v>
      </c>
      <c r="M9" s="26">
        <v>6531960</v>
      </c>
      <c r="N9" s="26">
        <v>211180</v>
      </c>
      <c r="O9" s="26">
        <v>29384</v>
      </c>
      <c r="P9" s="26">
        <v>10364</v>
      </c>
      <c r="Q9" s="26">
        <v>3556675</v>
      </c>
    </row>
    <row r="10" spans="1:17" x14ac:dyDescent="0.25">
      <c r="A10" s="26">
        <f t="shared" si="1"/>
        <v>2017</v>
      </c>
      <c r="B10" s="26">
        <v>5</v>
      </c>
      <c r="C10" s="26">
        <v>2</v>
      </c>
      <c r="D10" s="26">
        <f t="shared" si="2"/>
        <v>5130.0219999999999</v>
      </c>
      <c r="E10" s="26">
        <f t="shared" si="0"/>
        <v>155.52099999999999</v>
      </c>
      <c r="F10" s="26">
        <f t="shared" si="0"/>
        <v>16.533000000000001</v>
      </c>
      <c r="G10" s="26">
        <f t="shared" si="0"/>
        <v>7.3529999999999998</v>
      </c>
      <c r="H10" s="26">
        <f t="shared" si="0"/>
        <v>3100.9270000000001</v>
      </c>
      <c r="I10" s="26" t="s">
        <v>48</v>
      </c>
      <c r="J10" s="26">
        <v>2017</v>
      </c>
      <c r="K10" s="26">
        <v>5</v>
      </c>
      <c r="L10" s="26">
        <v>2</v>
      </c>
      <c r="M10" s="26">
        <v>5130022</v>
      </c>
      <c r="N10" s="26">
        <v>155521</v>
      </c>
      <c r="O10" s="26">
        <v>16533</v>
      </c>
      <c r="P10" s="26">
        <v>7353</v>
      </c>
      <c r="Q10" s="26">
        <v>3100927</v>
      </c>
    </row>
    <row r="11" spans="1:17" x14ac:dyDescent="0.25">
      <c r="A11" s="26">
        <f t="shared" si="1"/>
        <v>2017</v>
      </c>
      <c r="B11" s="26">
        <v>5</v>
      </c>
      <c r="C11" s="26">
        <v>5</v>
      </c>
      <c r="D11" s="26">
        <f t="shared" si="2"/>
        <v>6459.7250000000004</v>
      </c>
      <c r="E11" s="26">
        <f t="shared" si="0"/>
        <v>219.80799999999999</v>
      </c>
      <c r="F11" s="26">
        <f t="shared" si="0"/>
        <v>29.984999999999999</v>
      </c>
      <c r="G11" s="26">
        <f t="shared" si="0"/>
        <v>10.581</v>
      </c>
      <c r="H11" s="26">
        <f t="shared" si="0"/>
        <v>3690.6410000000001</v>
      </c>
      <c r="I11" s="26" t="s">
        <v>48</v>
      </c>
      <c r="J11" s="26">
        <v>2017</v>
      </c>
      <c r="K11" s="26">
        <v>5</v>
      </c>
      <c r="L11" s="26">
        <v>5</v>
      </c>
      <c r="M11" s="26">
        <v>6459725</v>
      </c>
      <c r="N11" s="26">
        <v>219808</v>
      </c>
      <c r="O11" s="26">
        <v>29985</v>
      </c>
      <c r="P11" s="26">
        <v>10581</v>
      </c>
      <c r="Q11" s="26">
        <v>3690641</v>
      </c>
    </row>
    <row r="12" spans="1:17" x14ac:dyDescent="0.25">
      <c r="A12" s="26">
        <f t="shared" si="1"/>
        <v>2017</v>
      </c>
      <c r="B12" s="26">
        <v>6</v>
      </c>
      <c r="C12" s="26">
        <v>2</v>
      </c>
      <c r="D12" s="26">
        <f t="shared" si="2"/>
        <v>4928.2280000000001</v>
      </c>
      <c r="E12" s="26">
        <f t="shared" si="0"/>
        <v>157.505</v>
      </c>
      <c r="F12" s="26">
        <f t="shared" si="0"/>
        <v>16.797999999999998</v>
      </c>
      <c r="G12" s="26">
        <f t="shared" si="0"/>
        <v>7.4980000000000002</v>
      </c>
      <c r="H12" s="26">
        <f t="shared" si="0"/>
        <v>3202.9520000000002</v>
      </c>
      <c r="I12" s="26" t="s">
        <v>48</v>
      </c>
      <c r="J12" s="26">
        <v>2017</v>
      </c>
      <c r="K12" s="26">
        <v>6</v>
      </c>
      <c r="L12" s="26">
        <v>2</v>
      </c>
      <c r="M12" s="26">
        <v>4928228</v>
      </c>
      <c r="N12" s="26">
        <v>157505</v>
      </c>
      <c r="O12" s="26">
        <v>16798</v>
      </c>
      <c r="P12" s="26">
        <v>7498</v>
      </c>
      <c r="Q12" s="26">
        <v>3202952</v>
      </c>
    </row>
    <row r="13" spans="1:17" x14ac:dyDescent="0.25">
      <c r="A13" s="26">
        <f t="shared" si="1"/>
        <v>2017</v>
      </c>
      <c r="B13" s="26">
        <v>6</v>
      </c>
      <c r="C13" s="26">
        <v>5</v>
      </c>
      <c r="D13" s="26">
        <f t="shared" si="2"/>
        <v>6119.8249999999998</v>
      </c>
      <c r="E13" s="26">
        <f t="shared" si="0"/>
        <v>218.779</v>
      </c>
      <c r="F13" s="26">
        <f t="shared" si="0"/>
        <v>30.166</v>
      </c>
      <c r="G13" s="26">
        <f t="shared" si="0"/>
        <v>10.638999999999999</v>
      </c>
      <c r="H13" s="26">
        <f t="shared" si="0"/>
        <v>3793.2829999999999</v>
      </c>
      <c r="I13" s="26" t="s">
        <v>48</v>
      </c>
      <c r="J13" s="26">
        <v>2017</v>
      </c>
      <c r="K13" s="26">
        <v>6</v>
      </c>
      <c r="L13" s="26">
        <v>5</v>
      </c>
      <c r="M13" s="26">
        <v>6119825</v>
      </c>
      <c r="N13" s="26">
        <v>218779</v>
      </c>
      <c r="O13" s="26">
        <v>30166</v>
      </c>
      <c r="P13" s="26">
        <v>10639</v>
      </c>
      <c r="Q13" s="26">
        <v>3793283</v>
      </c>
    </row>
    <row r="14" spans="1:17" x14ac:dyDescent="0.25">
      <c r="A14" s="26">
        <f t="shared" si="1"/>
        <v>2017</v>
      </c>
      <c r="B14" s="26">
        <v>7</v>
      </c>
      <c r="C14" s="26">
        <v>2</v>
      </c>
      <c r="D14" s="26">
        <f t="shared" si="2"/>
        <v>4828.8370000000004</v>
      </c>
      <c r="E14" s="26">
        <f t="shared" si="0"/>
        <v>156.184</v>
      </c>
      <c r="F14" s="26">
        <f t="shared" si="0"/>
        <v>16.564</v>
      </c>
      <c r="G14" s="26">
        <f t="shared" si="0"/>
        <v>7.4009999999999998</v>
      </c>
      <c r="H14" s="26">
        <f t="shared" si="0"/>
        <v>3359.2570000000001</v>
      </c>
      <c r="I14" s="26" t="s">
        <v>48</v>
      </c>
      <c r="J14" s="26">
        <v>2017</v>
      </c>
      <c r="K14" s="26">
        <v>7</v>
      </c>
      <c r="L14" s="26">
        <v>2</v>
      </c>
      <c r="M14" s="26">
        <v>4828837</v>
      </c>
      <c r="N14" s="26">
        <v>156184</v>
      </c>
      <c r="O14" s="26">
        <v>16564</v>
      </c>
      <c r="P14" s="26">
        <v>7401</v>
      </c>
      <c r="Q14" s="26">
        <v>3359257</v>
      </c>
    </row>
    <row r="15" spans="1:17" x14ac:dyDescent="0.25">
      <c r="A15" s="26">
        <f t="shared" si="1"/>
        <v>2017</v>
      </c>
      <c r="B15" s="26">
        <v>7</v>
      </c>
      <c r="C15" s="26">
        <v>5</v>
      </c>
      <c r="D15" s="26">
        <f t="shared" si="2"/>
        <v>6007.39</v>
      </c>
      <c r="E15" s="26">
        <f t="shared" si="0"/>
        <v>217.78700000000001</v>
      </c>
      <c r="F15" s="26">
        <f t="shared" si="0"/>
        <v>29.96</v>
      </c>
      <c r="G15" s="26">
        <f t="shared" si="0"/>
        <v>10.558</v>
      </c>
      <c r="H15" s="26">
        <f t="shared" si="0"/>
        <v>3963.4090000000001</v>
      </c>
      <c r="I15" s="26" t="s">
        <v>48</v>
      </c>
      <c r="J15" s="26">
        <v>2017</v>
      </c>
      <c r="K15" s="26">
        <v>7</v>
      </c>
      <c r="L15" s="26">
        <v>5</v>
      </c>
      <c r="M15" s="26">
        <v>6007390</v>
      </c>
      <c r="N15" s="26">
        <v>217787</v>
      </c>
      <c r="O15" s="26">
        <v>29960</v>
      </c>
      <c r="P15" s="26">
        <v>10558</v>
      </c>
      <c r="Q15" s="26">
        <v>3963409</v>
      </c>
    </row>
    <row r="16" spans="1:17" x14ac:dyDescent="0.25">
      <c r="A16" s="26">
        <f t="shared" si="1"/>
        <v>2017</v>
      </c>
      <c r="B16" s="26">
        <v>8</v>
      </c>
      <c r="C16" s="26">
        <v>2</v>
      </c>
      <c r="D16" s="26">
        <f t="shared" si="2"/>
        <v>4729.6419999999998</v>
      </c>
      <c r="E16" s="26">
        <f t="shared" si="0"/>
        <v>153.37299999999999</v>
      </c>
      <c r="F16" s="26">
        <f t="shared" si="0"/>
        <v>16.311</v>
      </c>
      <c r="G16" s="26">
        <f t="shared" si="0"/>
        <v>7.26</v>
      </c>
      <c r="H16" s="26">
        <f t="shared" si="0"/>
        <v>3256.2640000000001</v>
      </c>
      <c r="I16" s="26" t="s">
        <v>48</v>
      </c>
      <c r="J16" s="26">
        <v>2017</v>
      </c>
      <c r="K16" s="26">
        <v>8</v>
      </c>
      <c r="L16" s="26">
        <v>2</v>
      </c>
      <c r="M16" s="26">
        <v>4729642</v>
      </c>
      <c r="N16" s="26">
        <v>153373</v>
      </c>
      <c r="O16" s="26">
        <v>16311</v>
      </c>
      <c r="P16" s="26">
        <v>7260</v>
      </c>
      <c r="Q16" s="26">
        <v>3256264</v>
      </c>
    </row>
    <row r="17" spans="1:17" x14ac:dyDescent="0.25">
      <c r="A17" s="26">
        <f t="shared" si="1"/>
        <v>2017</v>
      </c>
      <c r="B17" s="26">
        <v>8</v>
      </c>
      <c r="C17" s="26">
        <v>5</v>
      </c>
      <c r="D17" s="26">
        <f t="shared" si="2"/>
        <v>5973.0320000000002</v>
      </c>
      <c r="E17" s="26">
        <f t="shared" si="0"/>
        <v>217.62799999999999</v>
      </c>
      <c r="F17" s="26">
        <f t="shared" si="0"/>
        <v>29.869</v>
      </c>
      <c r="G17" s="26">
        <f t="shared" si="0"/>
        <v>10.531000000000001</v>
      </c>
      <c r="H17" s="26">
        <f t="shared" si="0"/>
        <v>3869.6610000000001</v>
      </c>
      <c r="I17" s="26" t="s">
        <v>48</v>
      </c>
      <c r="J17" s="26">
        <v>2017</v>
      </c>
      <c r="K17" s="26">
        <v>8</v>
      </c>
      <c r="L17" s="26">
        <v>5</v>
      </c>
      <c r="M17" s="26">
        <v>5973032</v>
      </c>
      <c r="N17" s="26">
        <v>217628</v>
      </c>
      <c r="O17" s="26">
        <v>29869</v>
      </c>
      <c r="P17" s="26">
        <v>10531</v>
      </c>
      <c r="Q17" s="26">
        <v>3869661</v>
      </c>
    </row>
    <row r="18" spans="1:17" x14ac:dyDescent="0.25">
      <c r="A18" s="26">
        <f t="shared" si="1"/>
        <v>2017</v>
      </c>
      <c r="B18" s="26">
        <v>9</v>
      </c>
      <c r="C18" s="26">
        <v>2</v>
      </c>
      <c r="D18" s="26">
        <f t="shared" si="2"/>
        <v>4807.4970000000003</v>
      </c>
      <c r="E18" s="26">
        <f t="shared" si="2"/>
        <v>146.67400000000001</v>
      </c>
      <c r="F18" s="26">
        <f t="shared" si="2"/>
        <v>15.513999999999999</v>
      </c>
      <c r="G18" s="26">
        <f t="shared" si="2"/>
        <v>6.9279999999999999</v>
      </c>
      <c r="H18" s="26">
        <f t="shared" si="2"/>
        <v>3117.0590000000002</v>
      </c>
      <c r="I18" s="26" t="s">
        <v>48</v>
      </c>
      <c r="J18" s="26">
        <v>2017</v>
      </c>
      <c r="K18" s="26">
        <v>9</v>
      </c>
      <c r="L18" s="26">
        <v>2</v>
      </c>
      <c r="M18" s="26">
        <v>4807497</v>
      </c>
      <c r="N18" s="26">
        <v>146674</v>
      </c>
      <c r="O18" s="26">
        <v>15514</v>
      </c>
      <c r="P18" s="26">
        <v>6928</v>
      </c>
      <c r="Q18" s="26">
        <v>3117059</v>
      </c>
    </row>
    <row r="19" spans="1:17" x14ac:dyDescent="0.25">
      <c r="A19" s="26">
        <f t="shared" si="1"/>
        <v>2017</v>
      </c>
      <c r="B19" s="26">
        <v>9</v>
      </c>
      <c r="C19" s="26">
        <v>5</v>
      </c>
      <c r="D19" s="26">
        <f t="shared" si="2"/>
        <v>6254.4369999999999</v>
      </c>
      <c r="E19" s="26">
        <f t="shared" si="2"/>
        <v>215.55600000000001</v>
      </c>
      <c r="F19" s="26">
        <f t="shared" si="2"/>
        <v>29.584</v>
      </c>
      <c r="G19" s="26">
        <f t="shared" si="2"/>
        <v>10.433999999999999</v>
      </c>
      <c r="H19" s="26">
        <f t="shared" si="2"/>
        <v>3744.3420000000001</v>
      </c>
      <c r="I19" s="26" t="s">
        <v>48</v>
      </c>
      <c r="J19" s="26">
        <v>2017</v>
      </c>
      <c r="K19" s="26">
        <v>9</v>
      </c>
      <c r="L19" s="26">
        <v>5</v>
      </c>
      <c r="M19" s="26">
        <v>6254437</v>
      </c>
      <c r="N19" s="26">
        <v>215556</v>
      </c>
      <c r="O19" s="26">
        <v>29584</v>
      </c>
      <c r="P19" s="26">
        <v>10434</v>
      </c>
      <c r="Q19" s="26">
        <v>3744342</v>
      </c>
    </row>
    <row r="20" spans="1:17" x14ac:dyDescent="0.25">
      <c r="A20" s="26">
        <f t="shared" si="1"/>
        <v>2017</v>
      </c>
      <c r="B20" s="26">
        <v>10</v>
      </c>
      <c r="C20" s="26">
        <v>2</v>
      </c>
      <c r="D20" s="26">
        <f t="shared" si="2"/>
        <v>5204.8280000000004</v>
      </c>
      <c r="E20" s="26">
        <f t="shared" si="2"/>
        <v>153.04599999999999</v>
      </c>
      <c r="F20" s="26">
        <f t="shared" si="2"/>
        <v>16.233000000000001</v>
      </c>
      <c r="G20" s="26">
        <f t="shared" si="2"/>
        <v>7.29</v>
      </c>
      <c r="H20" s="26">
        <f t="shared" si="2"/>
        <v>2908.424</v>
      </c>
      <c r="I20" s="26" t="s">
        <v>48</v>
      </c>
      <c r="J20" s="26">
        <v>2017</v>
      </c>
      <c r="K20" s="26">
        <v>10</v>
      </c>
      <c r="L20" s="26">
        <v>2</v>
      </c>
      <c r="M20" s="26">
        <v>5204828</v>
      </c>
      <c r="N20" s="26">
        <v>153046</v>
      </c>
      <c r="O20" s="26">
        <v>16233</v>
      </c>
      <c r="P20" s="26">
        <v>7290</v>
      </c>
      <c r="Q20" s="26">
        <v>2908424</v>
      </c>
    </row>
    <row r="21" spans="1:17" x14ac:dyDescent="0.25">
      <c r="A21" s="26">
        <f t="shared" si="1"/>
        <v>2017</v>
      </c>
      <c r="B21" s="26">
        <v>10</v>
      </c>
      <c r="C21" s="26">
        <v>5</v>
      </c>
      <c r="D21" s="26">
        <f t="shared" si="2"/>
        <v>6572.1769999999997</v>
      </c>
      <c r="E21" s="26">
        <f t="shared" si="2"/>
        <v>217.65700000000001</v>
      </c>
      <c r="F21" s="26">
        <f t="shared" si="2"/>
        <v>30.042000000000002</v>
      </c>
      <c r="G21" s="26">
        <f t="shared" si="2"/>
        <v>10.582000000000001</v>
      </c>
      <c r="H21" s="26">
        <f t="shared" si="2"/>
        <v>3494.152</v>
      </c>
      <c r="I21" s="26" t="s">
        <v>48</v>
      </c>
      <c r="J21" s="26">
        <v>2017</v>
      </c>
      <c r="K21" s="26">
        <v>10</v>
      </c>
      <c r="L21" s="26">
        <v>5</v>
      </c>
      <c r="M21" s="26">
        <v>6572177</v>
      </c>
      <c r="N21" s="26">
        <v>217657</v>
      </c>
      <c r="O21" s="26">
        <v>30042</v>
      </c>
      <c r="P21" s="26">
        <v>10582</v>
      </c>
      <c r="Q21" s="26">
        <v>3494152</v>
      </c>
    </row>
    <row r="22" spans="1:17" x14ac:dyDescent="0.25">
      <c r="A22" s="26">
        <f t="shared" si="1"/>
        <v>2017</v>
      </c>
      <c r="B22" s="26">
        <v>11</v>
      </c>
      <c r="C22" s="26">
        <v>2</v>
      </c>
      <c r="D22" s="26">
        <f t="shared" si="2"/>
        <v>5106.8739999999998</v>
      </c>
      <c r="E22" s="26">
        <f t="shared" si="2"/>
        <v>148.28100000000001</v>
      </c>
      <c r="F22" s="26">
        <f t="shared" si="2"/>
        <v>14.727</v>
      </c>
      <c r="G22" s="26">
        <f t="shared" si="2"/>
        <v>6.6669999999999998</v>
      </c>
      <c r="H22" s="26">
        <f t="shared" si="2"/>
        <v>2814.6019999999999</v>
      </c>
      <c r="I22" s="26" t="s">
        <v>48</v>
      </c>
      <c r="J22" s="26">
        <v>2017</v>
      </c>
      <c r="K22" s="26">
        <v>11</v>
      </c>
      <c r="L22" s="26">
        <v>2</v>
      </c>
      <c r="M22" s="26">
        <v>5106874</v>
      </c>
      <c r="N22" s="26">
        <v>148281</v>
      </c>
      <c r="O22" s="26">
        <v>14727</v>
      </c>
      <c r="P22" s="26">
        <v>6667</v>
      </c>
      <c r="Q22" s="26">
        <v>2814602</v>
      </c>
    </row>
    <row r="23" spans="1:17" x14ac:dyDescent="0.25">
      <c r="A23" s="26">
        <f t="shared" si="1"/>
        <v>2017</v>
      </c>
      <c r="B23" s="26">
        <v>11</v>
      </c>
      <c r="C23" s="26">
        <v>5</v>
      </c>
      <c r="D23" s="26">
        <f t="shared" si="2"/>
        <v>6601.5720000000001</v>
      </c>
      <c r="E23" s="26">
        <f t="shared" si="2"/>
        <v>216.91</v>
      </c>
      <c r="F23" s="26">
        <f t="shared" si="2"/>
        <v>28.582999999999998</v>
      </c>
      <c r="G23" s="26">
        <f t="shared" si="2"/>
        <v>10.052</v>
      </c>
      <c r="H23" s="26">
        <f t="shared" si="2"/>
        <v>3428.049</v>
      </c>
      <c r="I23" s="26" t="s">
        <v>48</v>
      </c>
      <c r="J23" s="26">
        <v>2017</v>
      </c>
      <c r="K23" s="26">
        <v>11</v>
      </c>
      <c r="L23" s="26">
        <v>5</v>
      </c>
      <c r="M23" s="26">
        <v>6601572</v>
      </c>
      <c r="N23" s="26">
        <v>216910</v>
      </c>
      <c r="O23" s="26">
        <v>28583</v>
      </c>
      <c r="P23" s="26">
        <v>10052</v>
      </c>
      <c r="Q23" s="26">
        <v>3428049</v>
      </c>
    </row>
    <row r="24" spans="1:17" x14ac:dyDescent="0.25">
      <c r="A24" s="26">
        <f t="shared" si="1"/>
        <v>2017</v>
      </c>
      <c r="B24" s="26">
        <v>12</v>
      </c>
      <c r="C24" s="26">
        <v>2</v>
      </c>
      <c r="D24" s="26">
        <f t="shared" si="2"/>
        <v>5217.415</v>
      </c>
      <c r="E24" s="26">
        <f t="shared" si="2"/>
        <v>159.471</v>
      </c>
      <c r="F24" s="26">
        <f t="shared" si="2"/>
        <v>14.935</v>
      </c>
      <c r="G24" s="26">
        <f t="shared" si="2"/>
        <v>6.57</v>
      </c>
      <c r="H24" s="26">
        <f t="shared" si="2"/>
        <v>2846.998</v>
      </c>
      <c r="I24" s="26" t="s">
        <v>48</v>
      </c>
      <c r="J24" s="26">
        <v>2017</v>
      </c>
      <c r="K24" s="26">
        <v>12</v>
      </c>
      <c r="L24" s="26">
        <v>2</v>
      </c>
      <c r="M24" s="26">
        <v>5217415</v>
      </c>
      <c r="N24" s="26">
        <v>159471</v>
      </c>
      <c r="O24" s="26">
        <v>14935</v>
      </c>
      <c r="P24" s="26">
        <v>6570</v>
      </c>
      <c r="Q24" s="26">
        <v>2846998</v>
      </c>
    </row>
    <row r="25" spans="1:17" x14ac:dyDescent="0.25">
      <c r="A25" s="26">
        <f t="shared" si="1"/>
        <v>2017</v>
      </c>
      <c r="B25" s="26">
        <v>12</v>
      </c>
      <c r="C25" s="26">
        <v>5</v>
      </c>
      <c r="D25" s="26">
        <f t="shared" si="2"/>
        <v>6905.2250000000004</v>
      </c>
      <c r="E25" s="26">
        <f t="shared" si="2"/>
        <v>235.47499999999999</v>
      </c>
      <c r="F25" s="26">
        <f t="shared" si="2"/>
        <v>28.295999999999999</v>
      </c>
      <c r="G25" s="26">
        <f t="shared" si="2"/>
        <v>10.004</v>
      </c>
      <c r="H25" s="26">
        <f t="shared" si="2"/>
        <v>3486.6149999999998</v>
      </c>
      <c r="I25" s="26" t="s">
        <v>48</v>
      </c>
      <c r="J25" s="26">
        <v>2017</v>
      </c>
      <c r="K25" s="26">
        <v>12</v>
      </c>
      <c r="L25" s="26">
        <v>5</v>
      </c>
      <c r="M25" s="26">
        <v>6905225</v>
      </c>
      <c r="N25" s="26">
        <v>235475</v>
      </c>
      <c r="O25" s="26">
        <v>28296</v>
      </c>
      <c r="P25" s="26">
        <v>10004</v>
      </c>
      <c r="Q25" s="26">
        <v>3486615</v>
      </c>
    </row>
    <row r="26" spans="1:17" x14ac:dyDescent="0.25">
      <c r="A26" s="26" t="s">
        <v>49</v>
      </c>
      <c r="B26" s="26"/>
      <c r="C26" s="26"/>
      <c r="D26" s="26"/>
      <c r="E26" s="26"/>
      <c r="F26" s="26"/>
      <c r="G26" s="26"/>
      <c r="H26" s="26"/>
      <c r="I26" s="26"/>
      <c r="J26" s="26" t="s">
        <v>50</v>
      </c>
      <c r="K26" s="26"/>
      <c r="L26" s="26"/>
      <c r="M26" s="26"/>
      <c r="N26" s="26"/>
      <c r="O26" s="26"/>
      <c r="P26" s="26"/>
      <c r="Q26" s="26"/>
    </row>
    <row r="27" spans="1:17" x14ac:dyDescent="0.25">
      <c r="A27" s="26"/>
      <c r="B27" s="26"/>
      <c r="C27" s="26"/>
      <c r="D27" s="26" t="s">
        <v>51</v>
      </c>
      <c r="E27" s="26"/>
      <c r="F27" s="26"/>
      <c r="G27" s="26"/>
      <c r="H27" s="26"/>
      <c r="I27" s="26"/>
      <c r="J27" s="26" t="s">
        <v>52</v>
      </c>
      <c r="K27" s="26"/>
      <c r="L27" s="26"/>
      <c r="M27" s="26"/>
      <c r="N27" s="26"/>
      <c r="O27" s="26"/>
      <c r="P27" s="26"/>
      <c r="Q27" s="26"/>
    </row>
    <row r="28" spans="1:17" x14ac:dyDescent="0.25">
      <c r="A28" s="26" t="s">
        <v>0</v>
      </c>
      <c r="B28" s="26" t="s">
        <v>1</v>
      </c>
      <c r="C28" s="26" t="s">
        <v>2</v>
      </c>
      <c r="D28" s="26" t="s">
        <v>3</v>
      </c>
      <c r="E28" s="26" t="s">
        <v>4</v>
      </c>
      <c r="F28" s="26" t="s">
        <v>5</v>
      </c>
      <c r="G28" s="26" t="s">
        <v>6</v>
      </c>
      <c r="H28" s="26" t="s">
        <v>7</v>
      </c>
      <c r="I28" s="26"/>
      <c r="J28" s="26" t="s">
        <v>0</v>
      </c>
      <c r="K28" s="26" t="s">
        <v>1</v>
      </c>
      <c r="L28" s="26" t="s">
        <v>2</v>
      </c>
      <c r="M28" s="26" t="s">
        <v>3</v>
      </c>
      <c r="N28" s="26" t="s">
        <v>4</v>
      </c>
      <c r="O28" s="26" t="s">
        <v>5</v>
      </c>
      <c r="P28" s="26" t="s">
        <v>6</v>
      </c>
      <c r="Q28" s="26" t="s">
        <v>7</v>
      </c>
    </row>
    <row r="29" spans="1:17" x14ac:dyDescent="0.25">
      <c r="A29" s="26" t="str">
        <f>IF(A1=A28,"Correct","Wrong")</f>
        <v>Correct</v>
      </c>
      <c r="B29" s="26" t="str">
        <f t="shared" ref="B29:H29" si="3">IF(B1=B28,"Correct","Wrong")</f>
        <v>Correct</v>
      </c>
      <c r="C29" s="26" t="str">
        <f t="shared" si="3"/>
        <v>Correct</v>
      </c>
      <c r="D29" s="26" t="str">
        <f t="shared" si="3"/>
        <v>Correct</v>
      </c>
      <c r="E29" s="26" t="str">
        <f t="shared" si="3"/>
        <v>Correct</v>
      </c>
      <c r="F29" s="26" t="str">
        <f t="shared" si="3"/>
        <v>Correct</v>
      </c>
      <c r="G29" s="26" t="str">
        <f t="shared" si="3"/>
        <v>Correct</v>
      </c>
      <c r="H29" s="26" t="str">
        <f t="shared" si="3"/>
        <v>Correct</v>
      </c>
      <c r="I29" s="26"/>
      <c r="J29" s="26" t="str">
        <f>IF(J1=J28,"Correct","Wrong")</f>
        <v>Correct</v>
      </c>
      <c r="K29" s="26" t="str">
        <f t="shared" ref="K29:Q29" si="4">IF(K1=K28,"Correct","Wrong")</f>
        <v>Correct</v>
      </c>
      <c r="L29" s="26" t="str">
        <f t="shared" si="4"/>
        <v>Correct</v>
      </c>
      <c r="M29" s="26" t="str">
        <f t="shared" si="4"/>
        <v>Correct</v>
      </c>
      <c r="N29" s="26" t="str">
        <f t="shared" si="4"/>
        <v>Correct</v>
      </c>
      <c r="O29" s="26" t="str">
        <f t="shared" si="4"/>
        <v>Correct</v>
      </c>
      <c r="P29" s="26" t="str">
        <f t="shared" si="4"/>
        <v>Correct</v>
      </c>
      <c r="Q29" s="26" t="str">
        <f t="shared" si="4"/>
        <v>Correct</v>
      </c>
    </row>
    <row r="30" spans="1:17" x14ac:dyDescent="0.25">
      <c r="A30" s="26" t="s">
        <v>10</v>
      </c>
      <c r="B30" s="26" t="s">
        <v>10</v>
      </c>
      <c r="C30" s="26" t="s">
        <v>10</v>
      </c>
      <c r="D30" s="26" t="s">
        <v>53</v>
      </c>
      <c r="E30" s="26" t="s">
        <v>53</v>
      </c>
      <c r="F30" s="26" t="s">
        <v>53</v>
      </c>
      <c r="G30" s="26" t="s">
        <v>53</v>
      </c>
      <c r="H30" s="26" t="s">
        <v>53</v>
      </c>
      <c r="I30" s="26"/>
      <c r="J30" s="26"/>
      <c r="K30" s="26"/>
      <c r="L30" s="26"/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</row>
    <row r="31" spans="1:17" x14ac:dyDescent="0.25">
      <c r="A31" s="26" t="s">
        <v>69</v>
      </c>
      <c r="B31" s="26">
        <f>A2</f>
        <v>2017</v>
      </c>
      <c r="C31" s="26" t="str">
        <f>IF(B31=K31,"CORRECT","Wrong!!!")</f>
        <v>CORRECT</v>
      </c>
      <c r="D31" s="26"/>
      <c r="E31" s="26"/>
      <c r="F31" s="26"/>
      <c r="G31" s="26"/>
      <c r="H31" s="26"/>
      <c r="I31" s="26"/>
      <c r="J31" s="26" t="s">
        <v>69</v>
      </c>
      <c r="K31" s="26">
        <f>J2</f>
        <v>2017</v>
      </c>
      <c r="L31" s="26"/>
      <c r="M31" s="26"/>
      <c r="N31" s="26"/>
      <c r="O31" s="26"/>
      <c r="P31" s="26"/>
      <c r="Q31" s="26"/>
    </row>
    <row r="32" spans="1:17" x14ac:dyDescent="0.25">
      <c r="E32" s="76" t="s">
        <v>81</v>
      </c>
      <c r="F32" s="76" t="s">
        <v>82</v>
      </c>
    </row>
    <row r="33" spans="4:6" x14ac:dyDescent="0.25">
      <c r="D33" s="77" t="s">
        <v>3</v>
      </c>
      <c r="E33" s="28">
        <f>SUM(D2:D25)/12</f>
        <v>11363.599999999999</v>
      </c>
      <c r="F33" s="28">
        <f>E33*0.00110231131</f>
        <v>12.526224802315998</v>
      </c>
    </row>
    <row r="34" spans="4:6" x14ac:dyDescent="0.25">
      <c r="D34" s="77" t="s">
        <v>7</v>
      </c>
      <c r="E34" s="28">
        <f>SUM(H2:H25)/12</f>
        <v>6571.5638333333336</v>
      </c>
      <c r="F34" s="28">
        <f>E34*0.00110231131</f>
        <v>7.2439091378702889</v>
      </c>
    </row>
    <row r="35" spans="4:6" x14ac:dyDescent="0.25">
      <c r="D35" s="78" t="s">
        <v>83</v>
      </c>
      <c r="E35" s="28">
        <f>SUM(E2:E25)/12</f>
        <v>365.46700000000004</v>
      </c>
      <c r="F35" s="28">
        <f t="shared" ref="F35:F37" si="5">E35*0.00110231131</f>
        <v>0.40285840753177005</v>
      </c>
    </row>
    <row r="36" spans="4:6" x14ac:dyDescent="0.25">
      <c r="D36" s="78" t="s">
        <v>84</v>
      </c>
      <c r="E36" s="28">
        <f>SUM(F2:F25)/12</f>
        <v>44.34708333333333</v>
      </c>
      <c r="F36" s="28">
        <f t="shared" si="5"/>
        <v>4.8884291523845831E-2</v>
      </c>
    </row>
    <row r="37" spans="4:6" x14ac:dyDescent="0.25">
      <c r="D37" s="78" t="s">
        <v>85</v>
      </c>
      <c r="E37" s="28">
        <f>SUM(G2:G25)/12</f>
        <v>17.084999999999997</v>
      </c>
      <c r="F37" s="28">
        <f t="shared" si="5"/>
        <v>1.8832988731349996E-2</v>
      </c>
    </row>
    <row r="38" spans="4:6" x14ac:dyDescent="0.25">
      <c r="E38" s="28"/>
      <c r="F38" s="79">
        <f>F35+F36+F37</f>
        <v>0.47057568778696585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5" sqref="A15"/>
    </sheetView>
  </sheetViews>
  <sheetFormatPr defaultRowHeight="15" x14ac:dyDescent="0.25"/>
  <cols>
    <col min="2" max="2" width="21.28515625" customWidth="1"/>
    <col min="3" max="3" width="23.7109375" customWidth="1"/>
  </cols>
  <sheetData>
    <row r="1" spans="1:3" x14ac:dyDescent="0.25">
      <c r="A1" t="s">
        <v>29</v>
      </c>
      <c r="B1" t="s">
        <v>30</v>
      </c>
      <c r="C1" t="s">
        <v>31</v>
      </c>
    </row>
    <row r="2" spans="1:3" x14ac:dyDescent="0.25">
      <c r="A2">
        <v>0</v>
      </c>
      <c r="B2" t="s">
        <v>32</v>
      </c>
      <c r="C2" t="s">
        <v>33</v>
      </c>
    </row>
    <row r="3" spans="1:3" x14ac:dyDescent="0.25">
      <c r="A3">
        <v>0</v>
      </c>
      <c r="B3" t="s">
        <v>34</v>
      </c>
      <c r="C3" s="30">
        <v>43481.37427083333</v>
      </c>
    </row>
    <row r="4" spans="1:3" x14ac:dyDescent="0.25">
      <c r="A4">
        <v>0</v>
      </c>
      <c r="B4" t="s">
        <v>35</v>
      </c>
      <c r="C4" t="s">
        <v>78</v>
      </c>
    </row>
    <row r="5" spans="1:3" x14ac:dyDescent="0.25">
      <c r="A5">
        <v>0</v>
      </c>
      <c r="B5" t="s">
        <v>36</v>
      </c>
      <c r="C5" t="s">
        <v>37</v>
      </c>
    </row>
    <row r="6" spans="1:3" x14ac:dyDescent="0.25">
      <c r="A6">
        <v>2</v>
      </c>
      <c r="B6" t="s">
        <v>38</v>
      </c>
      <c r="C6" s="31">
        <v>43480.881562499999</v>
      </c>
    </row>
    <row r="7" spans="1:3" x14ac:dyDescent="0.25">
      <c r="A7">
        <v>2</v>
      </c>
      <c r="B7" t="s">
        <v>39</v>
      </c>
      <c r="C7" s="31" t="s">
        <v>79</v>
      </c>
    </row>
    <row r="8" spans="1:3" x14ac:dyDescent="0.25">
      <c r="A8">
        <v>2</v>
      </c>
      <c r="B8" t="s">
        <v>40</v>
      </c>
      <c r="C8" s="31">
        <v>43480.881284722222</v>
      </c>
    </row>
    <row r="9" spans="1:3" x14ac:dyDescent="0.25">
      <c r="A9">
        <v>2</v>
      </c>
      <c r="B9" t="s">
        <v>41</v>
      </c>
      <c r="C9" t="s">
        <v>80</v>
      </c>
    </row>
    <row r="10" spans="1:3" x14ac:dyDescent="0.25">
      <c r="A10">
        <v>2</v>
      </c>
      <c r="B10" t="s">
        <v>42</v>
      </c>
      <c r="C10" t="s">
        <v>55</v>
      </c>
    </row>
    <row r="11" spans="1:3" x14ac:dyDescent="0.25">
      <c r="A11">
        <v>2</v>
      </c>
      <c r="B11" t="s">
        <v>43</v>
      </c>
      <c r="C11" t="s">
        <v>56</v>
      </c>
    </row>
    <row r="12" spans="1:3" x14ac:dyDescent="0.25">
      <c r="A12">
        <v>2</v>
      </c>
      <c r="B12" t="s">
        <v>44</v>
      </c>
      <c r="C12" t="s">
        <v>45</v>
      </c>
    </row>
    <row r="13" spans="1:3" x14ac:dyDescent="0.25">
      <c r="A13">
        <v>2</v>
      </c>
      <c r="B13" t="s">
        <v>46</v>
      </c>
      <c r="C13" t="s">
        <v>57</v>
      </c>
    </row>
    <row r="15" spans="1:3" x14ac:dyDescent="0.25">
      <c r="A15" t="s">
        <v>70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workbookViewId="0">
      <selection activeCell="A7" sqref="A7"/>
    </sheetView>
  </sheetViews>
  <sheetFormatPr defaultRowHeight="15" x14ac:dyDescent="0.25"/>
  <cols>
    <col min="2" max="2" width="21.5703125" style="25" customWidth="1"/>
    <col min="3" max="3" width="4.85546875" customWidth="1"/>
    <col min="4" max="4" width="7.5703125" customWidth="1"/>
    <col min="5" max="5" width="7.42578125" customWidth="1"/>
    <col min="10" max="10" width="7.7109375" customWidth="1"/>
    <col min="11" max="11" width="7.7109375" style="26" customWidth="1"/>
    <col min="12" max="12" width="12.42578125" customWidth="1"/>
    <col min="13" max="13" width="10" customWidth="1"/>
    <col min="15" max="19" width="8.85546875" style="26"/>
    <col min="20" max="20" width="8.85546875" style="32"/>
    <col min="21" max="24" width="8.85546875" style="26"/>
    <col min="25" max="25" width="8.85546875" style="32"/>
    <col min="26" max="26" width="8.85546875" style="26"/>
    <col min="27" max="27" width="8.85546875" style="33"/>
    <col min="28" max="28" width="8.85546875" style="32"/>
    <col min="29" max="30" width="8.85546875" style="26"/>
  </cols>
  <sheetData>
    <row r="1" spans="1:30" x14ac:dyDescent="0.25">
      <c r="A1" s="1" t="s">
        <v>58</v>
      </c>
      <c r="B1" s="24"/>
      <c r="C1" s="1"/>
      <c r="D1" s="38"/>
      <c r="E1" s="1"/>
      <c r="F1" s="1"/>
      <c r="G1" s="1"/>
      <c r="H1" s="1"/>
      <c r="I1" s="1"/>
      <c r="J1" s="2"/>
      <c r="L1" s="26"/>
      <c r="M1" s="26"/>
      <c r="Y1" s="32">
        <v>2034</v>
      </c>
      <c r="AB1" s="32">
        <v>2045</v>
      </c>
    </row>
    <row r="2" spans="1:30" ht="74.25" customHeight="1" x14ac:dyDescent="0.25">
      <c r="A2" s="66" t="s">
        <v>0</v>
      </c>
      <c r="B2" s="66" t="s">
        <v>1</v>
      </c>
      <c r="C2" s="66" t="s">
        <v>25</v>
      </c>
      <c r="D2" s="68" t="s">
        <v>59</v>
      </c>
      <c r="E2" s="39" t="s">
        <v>3</v>
      </c>
      <c r="F2" s="39" t="s">
        <v>60</v>
      </c>
      <c r="G2" s="39" t="s">
        <v>61</v>
      </c>
      <c r="H2" s="39" t="s">
        <v>62</v>
      </c>
      <c r="I2" s="39" t="s">
        <v>63</v>
      </c>
      <c r="J2" s="40" t="s">
        <v>7</v>
      </c>
      <c r="K2" s="39" t="s">
        <v>64</v>
      </c>
      <c r="L2" s="39" t="s">
        <v>65</v>
      </c>
      <c r="M2" s="39" t="s">
        <v>66</v>
      </c>
      <c r="O2" s="26">
        <v>2008</v>
      </c>
      <c r="P2" s="26">
        <v>2010</v>
      </c>
      <c r="Q2" s="26">
        <v>2012</v>
      </c>
      <c r="R2" s="26">
        <v>2014</v>
      </c>
      <c r="S2" s="26">
        <v>2015</v>
      </c>
      <c r="T2" s="32">
        <v>2017</v>
      </c>
      <c r="U2" s="26">
        <v>2018</v>
      </c>
      <c r="V2" s="26">
        <v>2021</v>
      </c>
      <c r="W2" s="26">
        <v>2024</v>
      </c>
      <c r="X2" s="26">
        <v>2030</v>
      </c>
      <c r="Y2" s="32">
        <v>2034</v>
      </c>
      <c r="Z2" s="26">
        <v>2035</v>
      </c>
      <c r="AA2" s="33">
        <v>2040</v>
      </c>
      <c r="AB2" s="32">
        <v>2045</v>
      </c>
      <c r="AC2" s="26" t="s">
        <v>23</v>
      </c>
      <c r="AD2" s="26" t="s">
        <v>22</v>
      </c>
    </row>
    <row r="3" spans="1:30" s="26" customFormat="1" ht="35.450000000000003" customHeight="1" x14ac:dyDescent="0.25">
      <c r="A3" s="67"/>
      <c r="B3" s="67"/>
      <c r="C3" s="67"/>
      <c r="D3" s="67"/>
      <c r="E3" s="69" t="s">
        <v>67</v>
      </c>
      <c r="F3" s="70"/>
      <c r="G3" s="70"/>
      <c r="H3" s="70"/>
      <c r="I3" s="70"/>
      <c r="J3" s="70"/>
      <c r="K3" s="65" t="s">
        <v>68</v>
      </c>
      <c r="L3" s="65"/>
      <c r="M3" s="65"/>
      <c r="T3" s="32"/>
      <c r="Y3" s="32"/>
      <c r="AA3" s="33"/>
      <c r="AB3" s="32"/>
    </row>
    <row r="4" spans="1:30" x14ac:dyDescent="0.25">
      <c r="A4" s="41">
        <f>SummaryReportBody!A2</f>
        <v>2017</v>
      </c>
      <c r="B4" s="42">
        <v>1</v>
      </c>
      <c r="C4" s="41">
        <v>2</v>
      </c>
      <c r="D4" s="43">
        <f t="shared" ref="D4:D27" si="0">AD4</f>
        <v>9</v>
      </c>
      <c r="E4" s="44">
        <f>0.00110231131*SummaryReportBody!D2</f>
        <v>5.2249831671827494</v>
      </c>
      <c r="F4" s="44">
        <f>0.00110231131*SummaryReportBody!E2</f>
        <v>0.15113349446885999</v>
      </c>
      <c r="G4" s="44">
        <f>0.00110231131*SummaryReportBody!F2</f>
        <v>1.4553816225929999E-2</v>
      </c>
      <c r="H4" s="44">
        <f>0.00110231131*SummaryReportBody!G2</f>
        <v>6.5135575307899993E-3</v>
      </c>
      <c r="I4" s="45">
        <f>(F4+G4+H4)</f>
        <v>0.17220086822557998</v>
      </c>
      <c r="J4" s="44">
        <f>0.00110231131*SummaryReportBody!H2</f>
        <v>2.98840013306061</v>
      </c>
      <c r="K4" s="37">
        <f>(F4+G4+H4)*D4</f>
        <v>1.5498078140302198</v>
      </c>
      <c r="L4" s="44">
        <f>D4*E4</f>
        <v>47.024848504644744</v>
      </c>
      <c r="M4" s="45">
        <f>D4*J4</f>
        <v>26.895601197545489</v>
      </c>
      <c r="O4" s="3">
        <v>8</v>
      </c>
      <c r="P4" s="3">
        <v>10</v>
      </c>
      <c r="Q4" s="26">
        <v>9</v>
      </c>
      <c r="R4" s="26">
        <v>8</v>
      </c>
      <c r="S4" s="26">
        <v>9</v>
      </c>
      <c r="T4" s="32">
        <v>9</v>
      </c>
      <c r="U4" s="26">
        <v>8</v>
      </c>
      <c r="V4" s="26">
        <v>10</v>
      </c>
      <c r="W4" s="26">
        <v>8</v>
      </c>
      <c r="X4" s="26">
        <v>8</v>
      </c>
      <c r="Y4" s="32">
        <v>9</v>
      </c>
      <c r="Z4" s="1">
        <v>8</v>
      </c>
      <c r="AA4" s="33">
        <v>9</v>
      </c>
      <c r="AB4" s="32">
        <v>9</v>
      </c>
      <c r="AC4" s="26">
        <f t="shared" ref="AC4:AC27" si="1">IF(A4=2008,O4,IF(A4=2012,Q4,IF(A4=2015,S4,IF(A4=2017,T4,IF(A4=2018,U4,IF(A4=2010,P4,IF(A4=2014,R4,IF(A4=2040,AA4,30))))))))</f>
        <v>9</v>
      </c>
      <c r="AD4" s="26">
        <f t="shared" ref="AD4:AD27" si="2">IF(AC4&lt;30,AC4,IF(A4=2021,V4,IF(A4=2024,W4,IF(A4=2030,X4,IF(A4=2034,Y4,IF(A4=2035,Z4,IF(A4=2045,AB4,"wrong")))))))</f>
        <v>9</v>
      </c>
    </row>
    <row r="5" spans="1:30" x14ac:dyDescent="0.25">
      <c r="A5" s="41">
        <f>SummaryReportBody!A3</f>
        <v>2017</v>
      </c>
      <c r="B5" s="42">
        <v>1</v>
      </c>
      <c r="C5" s="41">
        <v>5</v>
      </c>
      <c r="D5" s="43">
        <f t="shared" si="0"/>
        <v>22</v>
      </c>
      <c r="E5" s="44">
        <f>0.00110231131*SummaryReportBody!D3</f>
        <v>6.9236008034403493</v>
      </c>
      <c r="F5" s="44">
        <f>0.00110231131*SummaryReportBody!E3</f>
        <v>0.22622955477391998</v>
      </c>
      <c r="G5" s="44">
        <f>0.00110231131*SummaryReportBody!F3</f>
        <v>2.8673321795719998E-2</v>
      </c>
      <c r="H5" s="44">
        <f>0.00110231131*SummaryReportBody!G3</f>
        <v>1.010488777877E-2</v>
      </c>
      <c r="I5" s="45">
        <f t="shared" ref="I5:I27" si="3">(F5+G5+H5)</f>
        <v>0.26500776434841</v>
      </c>
      <c r="J5" s="44">
        <f>0.00110231131*SummaryReportBody!H3</f>
        <v>3.6567204572005099</v>
      </c>
      <c r="K5" s="37">
        <f t="shared" ref="K5:K27" si="4">(F5+G5+H5)*D5</f>
        <v>5.8301708156650198</v>
      </c>
      <c r="L5" s="44">
        <f t="shared" ref="L5:L27" si="5">D5*E5</f>
        <v>152.3192176756877</v>
      </c>
      <c r="M5" s="45">
        <f t="shared" ref="M5:M27" si="6">D5*J5</f>
        <v>80.44785005841122</v>
      </c>
      <c r="O5" s="3">
        <v>23</v>
      </c>
      <c r="P5" s="3">
        <v>21</v>
      </c>
      <c r="Q5" s="26">
        <v>22</v>
      </c>
      <c r="R5" s="26">
        <v>23</v>
      </c>
      <c r="S5" s="26">
        <v>22</v>
      </c>
      <c r="T5" s="32">
        <v>22</v>
      </c>
      <c r="U5" s="26">
        <v>23</v>
      </c>
      <c r="V5" s="26">
        <v>21</v>
      </c>
      <c r="W5" s="26">
        <v>23</v>
      </c>
      <c r="X5" s="26">
        <v>23</v>
      </c>
      <c r="Y5" s="32">
        <v>22</v>
      </c>
      <c r="Z5" s="1">
        <v>23</v>
      </c>
      <c r="AA5" s="33">
        <v>22</v>
      </c>
      <c r="AB5" s="32">
        <v>22</v>
      </c>
      <c r="AC5" s="26">
        <f t="shared" si="1"/>
        <v>22</v>
      </c>
      <c r="AD5" s="26">
        <f t="shared" si="2"/>
        <v>22</v>
      </c>
    </row>
    <row r="6" spans="1:30" x14ac:dyDescent="0.25">
      <c r="A6" s="41">
        <f>SummaryReportBody!A4</f>
        <v>2017</v>
      </c>
      <c r="B6" s="42">
        <v>2</v>
      </c>
      <c r="C6" s="41">
        <v>2</v>
      </c>
      <c r="D6" s="43">
        <f t="shared" si="0"/>
        <v>8</v>
      </c>
      <c r="E6" s="44">
        <f>0.00110231131*SummaryReportBody!D4</f>
        <v>4.9774977434181</v>
      </c>
      <c r="F6" s="44">
        <f>0.00110231131*SummaryReportBody!E4</f>
        <v>0.14101537895437</v>
      </c>
      <c r="G6" s="44">
        <f>0.00110231131*SummaryReportBody!F4</f>
        <v>1.446342669851E-2</v>
      </c>
      <c r="H6" s="44">
        <f>0.00110231131*SummaryReportBody!G4</f>
        <v>6.3371877211899994E-3</v>
      </c>
      <c r="I6" s="45">
        <f t="shared" si="3"/>
        <v>0.16181599337406999</v>
      </c>
      <c r="J6" s="44">
        <f>0.00110231131*SummaryReportBody!H4</f>
        <v>2.93639859701136</v>
      </c>
      <c r="K6" s="37">
        <f t="shared" si="4"/>
        <v>1.2945279469925599</v>
      </c>
      <c r="L6" s="44">
        <f t="shared" si="5"/>
        <v>39.8199819473448</v>
      </c>
      <c r="M6" s="45">
        <f t="shared" si="6"/>
        <v>23.49118877609088</v>
      </c>
      <c r="O6" s="3">
        <v>8</v>
      </c>
      <c r="P6" s="3">
        <v>8</v>
      </c>
      <c r="Q6" s="26">
        <v>8</v>
      </c>
      <c r="R6" s="26">
        <v>8</v>
      </c>
      <c r="S6" s="26">
        <v>8</v>
      </c>
      <c r="T6" s="32">
        <v>8</v>
      </c>
      <c r="U6" s="26">
        <v>8</v>
      </c>
      <c r="V6" s="26">
        <v>8</v>
      </c>
      <c r="W6" s="26">
        <v>8</v>
      </c>
      <c r="X6" s="26">
        <v>8</v>
      </c>
      <c r="Y6" s="32">
        <v>8</v>
      </c>
      <c r="Z6" s="1">
        <v>8</v>
      </c>
      <c r="AA6" s="33">
        <v>8</v>
      </c>
      <c r="AB6" s="32">
        <v>8</v>
      </c>
      <c r="AC6" s="26">
        <f t="shared" si="1"/>
        <v>8</v>
      </c>
      <c r="AD6" s="26">
        <f t="shared" si="2"/>
        <v>8</v>
      </c>
    </row>
    <row r="7" spans="1:30" x14ac:dyDescent="0.25">
      <c r="A7" s="41">
        <f>SummaryReportBody!A5</f>
        <v>2017</v>
      </c>
      <c r="B7" s="42">
        <v>2</v>
      </c>
      <c r="C7" s="41">
        <v>5</v>
      </c>
      <c r="D7" s="43">
        <f t="shared" si="0"/>
        <v>20</v>
      </c>
      <c r="E7" s="44">
        <f>0.00110231131*SummaryReportBody!D5</f>
        <v>6.8560974634385703</v>
      </c>
      <c r="F7" s="44">
        <f>0.00110231131*SummaryReportBody!E5</f>
        <v>0.22083153628884999</v>
      </c>
      <c r="G7" s="44">
        <f>0.00110231131*SummaryReportBody!F5</f>
        <v>2.8624820098079998E-2</v>
      </c>
      <c r="H7" s="44">
        <f>0.00110231131*SummaryReportBody!G5</f>
        <v>1.0137957118069999E-2</v>
      </c>
      <c r="I7" s="45">
        <f t="shared" si="3"/>
        <v>0.25959431350499995</v>
      </c>
      <c r="J7" s="44">
        <f>0.00110231131*SummaryReportBody!H5</f>
        <v>3.6305152104278795</v>
      </c>
      <c r="K7" s="37">
        <f t="shared" si="4"/>
        <v>5.1918862700999995</v>
      </c>
      <c r="L7" s="44">
        <f t="shared" si="5"/>
        <v>137.1219492687714</v>
      </c>
      <c r="M7" s="45">
        <f t="shared" si="6"/>
        <v>72.610304208557594</v>
      </c>
      <c r="O7" s="3">
        <v>21</v>
      </c>
      <c r="P7" s="3">
        <v>20</v>
      </c>
      <c r="Q7" s="26">
        <v>21</v>
      </c>
      <c r="R7" s="26">
        <v>20</v>
      </c>
      <c r="S7" s="26">
        <v>20</v>
      </c>
      <c r="T7" s="32">
        <v>20</v>
      </c>
      <c r="U7" s="26">
        <v>20</v>
      </c>
      <c r="V7" s="26">
        <v>20</v>
      </c>
      <c r="W7" s="26">
        <v>21</v>
      </c>
      <c r="X7" s="26">
        <v>20</v>
      </c>
      <c r="Y7" s="32">
        <v>20</v>
      </c>
      <c r="Z7" s="1">
        <v>20</v>
      </c>
      <c r="AA7" s="33">
        <v>21</v>
      </c>
      <c r="AB7" s="32">
        <v>20</v>
      </c>
      <c r="AC7" s="26">
        <f t="shared" si="1"/>
        <v>20</v>
      </c>
      <c r="AD7" s="26">
        <f t="shared" si="2"/>
        <v>20</v>
      </c>
    </row>
    <row r="8" spans="1:30" x14ac:dyDescent="0.25">
      <c r="A8" s="41">
        <f>SummaryReportBody!A6</f>
        <v>2017</v>
      </c>
      <c r="B8" s="42">
        <v>3</v>
      </c>
      <c r="C8" s="41">
        <v>2</v>
      </c>
      <c r="D8" s="43">
        <f t="shared" si="0"/>
        <v>8</v>
      </c>
      <c r="E8" s="44">
        <f>0.00110231131*SummaryReportBody!D6</f>
        <v>5.8101164660021904</v>
      </c>
      <c r="F8" s="44">
        <f>0.00110231131*SummaryReportBody!E6</f>
        <v>0.16437666254720001</v>
      </c>
      <c r="G8" s="44">
        <f>0.00110231131*SummaryReportBody!F6</f>
        <v>1.682457752453E-2</v>
      </c>
      <c r="H8" s="44">
        <f>0.00110231131*SummaryReportBody!G6</f>
        <v>7.5750833223199995E-3</v>
      </c>
      <c r="I8" s="45">
        <f t="shared" si="3"/>
        <v>0.18877632339405001</v>
      </c>
      <c r="J8" s="44">
        <f>0.00110231131*SummaryReportBody!H6</f>
        <v>3.11383434164813</v>
      </c>
      <c r="K8" s="37">
        <f t="shared" si="4"/>
        <v>1.5102105871524001</v>
      </c>
      <c r="L8" s="44">
        <f t="shared" si="5"/>
        <v>46.480931728017524</v>
      </c>
      <c r="M8" s="45">
        <f t="shared" si="6"/>
        <v>24.91067473318504</v>
      </c>
      <c r="O8" s="3">
        <v>10</v>
      </c>
      <c r="P8" s="3">
        <v>8</v>
      </c>
      <c r="Q8" s="26">
        <v>9</v>
      </c>
      <c r="R8" s="26">
        <v>10</v>
      </c>
      <c r="S8" s="26">
        <v>9</v>
      </c>
      <c r="T8" s="32">
        <v>8</v>
      </c>
      <c r="U8" s="26">
        <v>9</v>
      </c>
      <c r="V8" s="26">
        <v>8</v>
      </c>
      <c r="W8" s="26">
        <v>10</v>
      </c>
      <c r="X8" s="26">
        <v>10</v>
      </c>
      <c r="Y8" s="32">
        <v>8</v>
      </c>
      <c r="Z8" s="1">
        <v>9</v>
      </c>
      <c r="AA8" s="33">
        <v>9</v>
      </c>
      <c r="AB8" s="32">
        <v>8</v>
      </c>
      <c r="AC8" s="26">
        <f t="shared" si="1"/>
        <v>8</v>
      </c>
      <c r="AD8" s="26">
        <f t="shared" si="2"/>
        <v>8</v>
      </c>
    </row>
    <row r="9" spans="1:30" x14ac:dyDescent="0.25">
      <c r="A9" s="41">
        <f>SummaryReportBody!A7</f>
        <v>2017</v>
      </c>
      <c r="B9" s="42">
        <v>3</v>
      </c>
      <c r="C9" s="41">
        <v>5</v>
      </c>
      <c r="D9" s="43">
        <f t="shared" si="0"/>
        <v>23</v>
      </c>
      <c r="E9" s="44">
        <f>0.00110231131*SummaryReportBody!D7</f>
        <v>7.4023996417406401</v>
      </c>
      <c r="F9" s="44">
        <f>0.00110231131*SummaryReportBody!E7</f>
        <v>0.23633995410924</v>
      </c>
      <c r="G9" s="44">
        <f>0.00110231131*SummaryReportBody!F7</f>
        <v>3.1723417190490003E-2</v>
      </c>
      <c r="H9" s="44">
        <f>0.00110231131*SummaryReportBody!G7</f>
        <v>1.11664135703E-2</v>
      </c>
      <c r="I9" s="45">
        <f t="shared" si="3"/>
        <v>0.27922978487003003</v>
      </c>
      <c r="J9" s="44">
        <f>0.00110231131*SummaryReportBody!H7</f>
        <v>3.7652584380283498</v>
      </c>
      <c r="K9" s="37">
        <f t="shared" si="4"/>
        <v>6.4222850520106904</v>
      </c>
      <c r="L9" s="44">
        <f t="shared" si="5"/>
        <v>170.25519176003473</v>
      </c>
      <c r="M9" s="45">
        <f t="shared" si="6"/>
        <v>86.600944074652048</v>
      </c>
      <c r="O9" s="3">
        <v>21</v>
      </c>
      <c r="P9" s="3">
        <v>23</v>
      </c>
      <c r="Q9" s="26">
        <v>22</v>
      </c>
      <c r="R9" s="26">
        <v>21</v>
      </c>
      <c r="S9" s="26">
        <v>22</v>
      </c>
      <c r="T9" s="32">
        <v>23</v>
      </c>
      <c r="U9" s="26">
        <v>22</v>
      </c>
      <c r="V9" s="26">
        <v>23</v>
      </c>
      <c r="W9" s="26">
        <v>21</v>
      </c>
      <c r="X9" s="26">
        <v>21</v>
      </c>
      <c r="Y9" s="32">
        <v>23</v>
      </c>
      <c r="Z9" s="1">
        <v>22</v>
      </c>
      <c r="AA9" s="33">
        <v>22</v>
      </c>
      <c r="AB9" s="32">
        <v>23</v>
      </c>
      <c r="AC9" s="26">
        <f t="shared" si="1"/>
        <v>23</v>
      </c>
      <c r="AD9" s="26">
        <f t="shared" si="2"/>
        <v>23</v>
      </c>
    </row>
    <row r="10" spans="1:30" x14ac:dyDescent="0.25">
      <c r="A10" s="41">
        <f>SummaryReportBody!A8</f>
        <v>2017</v>
      </c>
      <c r="B10" s="42">
        <v>4</v>
      </c>
      <c r="C10" s="41">
        <v>2</v>
      </c>
      <c r="D10" s="43">
        <f t="shared" si="0"/>
        <v>10</v>
      </c>
      <c r="E10" s="44">
        <f>0.00110231131*SummaryReportBody!D8</f>
        <v>5.7783754118307398</v>
      </c>
      <c r="F10" s="44">
        <f>0.00110231131*SummaryReportBody!E8</f>
        <v>0.16605768729495002</v>
      </c>
      <c r="G10" s="44">
        <f>0.00110231131*SummaryReportBody!F8</f>
        <v>1.8006255248850002E-2</v>
      </c>
      <c r="H10" s="44">
        <f>0.00110231131*SummaryReportBody!G8</f>
        <v>8.0292355820400004E-3</v>
      </c>
      <c r="I10" s="45">
        <f t="shared" si="3"/>
        <v>0.19209317812584001</v>
      </c>
      <c r="J10" s="44">
        <f>0.00110231131*SummaryReportBody!H8</f>
        <v>3.30593303133052</v>
      </c>
      <c r="K10" s="37">
        <f t="shared" si="4"/>
        <v>1.9209317812584001</v>
      </c>
      <c r="L10" s="44">
        <f t="shared" si="5"/>
        <v>57.783754118307399</v>
      </c>
      <c r="M10" s="45">
        <f t="shared" si="6"/>
        <v>33.059330313305196</v>
      </c>
      <c r="O10" s="3">
        <v>8</v>
      </c>
      <c r="P10" s="3">
        <v>8</v>
      </c>
      <c r="Q10" s="26">
        <v>9</v>
      </c>
      <c r="R10" s="26">
        <v>8</v>
      </c>
      <c r="S10" s="26">
        <v>8</v>
      </c>
      <c r="T10" s="32">
        <v>10</v>
      </c>
      <c r="U10" s="26">
        <v>9</v>
      </c>
      <c r="V10" s="26">
        <v>8</v>
      </c>
      <c r="W10" s="26">
        <v>8</v>
      </c>
      <c r="X10" s="26">
        <v>8</v>
      </c>
      <c r="Y10" s="32">
        <v>10</v>
      </c>
      <c r="Z10" s="1">
        <v>9</v>
      </c>
      <c r="AA10" s="33">
        <v>9</v>
      </c>
      <c r="AB10" s="32">
        <v>10</v>
      </c>
      <c r="AC10" s="26">
        <f t="shared" si="1"/>
        <v>10</v>
      </c>
      <c r="AD10" s="26">
        <f t="shared" si="2"/>
        <v>10</v>
      </c>
    </row>
    <row r="11" spans="1:30" x14ac:dyDescent="0.25">
      <c r="A11" s="41">
        <f>SummaryReportBody!A9</f>
        <v>2017</v>
      </c>
      <c r="B11" s="42">
        <v>4</v>
      </c>
      <c r="C11" s="41">
        <v>5</v>
      </c>
      <c r="D11" s="43">
        <f t="shared" si="0"/>
        <v>20</v>
      </c>
      <c r="E11" s="44">
        <f>0.00110231131*SummaryReportBody!D9</f>
        <v>7.2002533844676</v>
      </c>
      <c r="F11" s="44">
        <f>0.00110231131*SummaryReportBody!E9</f>
        <v>0.2327861024458</v>
      </c>
      <c r="G11" s="44">
        <f>0.00110231131*SummaryReportBody!F9</f>
        <v>3.2390315533039997E-2</v>
      </c>
      <c r="H11" s="44">
        <f>0.00110231131*SummaryReportBody!G9</f>
        <v>1.1424354416840001E-2</v>
      </c>
      <c r="I11" s="45">
        <f t="shared" si="3"/>
        <v>0.27660077239567998</v>
      </c>
      <c r="J11" s="44">
        <f>0.00110231131*SummaryReportBody!H9</f>
        <v>3.9205630784942502</v>
      </c>
      <c r="K11" s="37">
        <f t="shared" si="4"/>
        <v>5.5320154479135999</v>
      </c>
      <c r="L11" s="44">
        <f t="shared" si="5"/>
        <v>144.00506768935199</v>
      </c>
      <c r="M11" s="45">
        <f t="shared" si="6"/>
        <v>78.411261569884999</v>
      </c>
      <c r="O11" s="3">
        <v>22</v>
      </c>
      <c r="P11" s="3">
        <v>22</v>
      </c>
      <c r="Q11" s="26">
        <v>21</v>
      </c>
      <c r="R11" s="26">
        <v>22</v>
      </c>
      <c r="S11" s="26">
        <v>22</v>
      </c>
      <c r="T11" s="32">
        <v>20</v>
      </c>
      <c r="U11" s="26">
        <v>21</v>
      </c>
      <c r="V11" s="26">
        <v>22</v>
      </c>
      <c r="W11" s="26">
        <v>22</v>
      </c>
      <c r="X11" s="26">
        <v>22</v>
      </c>
      <c r="Y11" s="32">
        <v>20</v>
      </c>
      <c r="Z11" s="1">
        <v>21</v>
      </c>
      <c r="AA11" s="33">
        <v>21</v>
      </c>
      <c r="AB11" s="32">
        <v>20</v>
      </c>
      <c r="AC11" s="26">
        <f t="shared" si="1"/>
        <v>20</v>
      </c>
      <c r="AD11" s="26">
        <f t="shared" si="2"/>
        <v>20</v>
      </c>
    </row>
    <row r="12" spans="1:30" x14ac:dyDescent="0.25">
      <c r="A12" s="41">
        <f>SummaryReportBody!A10</f>
        <v>2017</v>
      </c>
      <c r="B12" s="42">
        <v>5</v>
      </c>
      <c r="C12" s="41">
        <v>2</v>
      </c>
      <c r="D12" s="43">
        <f t="shared" si="0"/>
        <v>8</v>
      </c>
      <c r="E12" s="44">
        <f>0.00110231131*SummaryReportBody!D10</f>
        <v>5.6548812711488194</v>
      </c>
      <c r="F12" s="44">
        <f>0.00110231131*SummaryReportBody!E10</f>
        <v>0.17143255724250997</v>
      </c>
      <c r="G12" s="44">
        <f>0.00110231131*SummaryReportBody!F10</f>
        <v>1.8224512888230002E-2</v>
      </c>
      <c r="H12" s="44">
        <f>0.00110231131*SummaryReportBody!G10</f>
        <v>8.1052950624299989E-3</v>
      </c>
      <c r="I12" s="45">
        <f t="shared" si="3"/>
        <v>0.19776236519316995</v>
      </c>
      <c r="J12" s="44">
        <f>0.00110231131*SummaryReportBody!H10</f>
        <v>3.4181869035843699</v>
      </c>
      <c r="K12" s="37">
        <f t="shared" si="4"/>
        <v>1.5820989215453596</v>
      </c>
      <c r="L12" s="44">
        <f t="shared" si="5"/>
        <v>45.239050169190556</v>
      </c>
      <c r="M12" s="45">
        <f t="shared" si="6"/>
        <v>27.34549522867496</v>
      </c>
      <c r="O12" s="3">
        <v>9</v>
      </c>
      <c r="P12" s="3">
        <v>10</v>
      </c>
      <c r="Q12" s="26">
        <v>9</v>
      </c>
      <c r="R12" s="26">
        <v>9</v>
      </c>
      <c r="S12" s="26">
        <v>10</v>
      </c>
      <c r="T12" s="32">
        <v>8</v>
      </c>
      <c r="U12" s="26">
        <v>8</v>
      </c>
      <c r="V12" s="26">
        <v>10</v>
      </c>
      <c r="W12" s="26">
        <v>8</v>
      </c>
      <c r="X12" s="26">
        <v>8</v>
      </c>
      <c r="Y12" s="32">
        <v>8</v>
      </c>
      <c r="Z12" s="1">
        <v>8</v>
      </c>
      <c r="AA12" s="33">
        <v>8</v>
      </c>
      <c r="AB12" s="32">
        <v>8</v>
      </c>
      <c r="AC12" s="26">
        <f t="shared" si="1"/>
        <v>8</v>
      </c>
      <c r="AD12" s="26">
        <f t="shared" si="2"/>
        <v>8</v>
      </c>
    </row>
    <row r="13" spans="1:30" x14ac:dyDescent="0.25">
      <c r="A13" s="41">
        <f>SummaryReportBody!A11</f>
        <v>2017</v>
      </c>
      <c r="B13" s="42">
        <v>5</v>
      </c>
      <c r="C13" s="41">
        <v>5</v>
      </c>
      <c r="D13" s="43">
        <f t="shared" si="0"/>
        <v>23</v>
      </c>
      <c r="E13" s="44">
        <f>0.00110231131*SummaryReportBody!D11</f>
        <v>7.1206279269897506</v>
      </c>
      <c r="F13" s="44">
        <f>0.00110231131*SummaryReportBody!E11</f>
        <v>0.24229684442847998</v>
      </c>
      <c r="G13" s="44">
        <f>0.00110231131*SummaryReportBody!F11</f>
        <v>3.3052804630349999E-2</v>
      </c>
      <c r="H13" s="44">
        <f>0.00110231131*SummaryReportBody!G11</f>
        <v>1.1663555971109999E-2</v>
      </c>
      <c r="I13" s="45">
        <f t="shared" si="3"/>
        <v>0.28701320502993999</v>
      </c>
      <c r="J13" s="44">
        <f>0.00110231131*SummaryReportBody!H11</f>
        <v>4.0682353154497104</v>
      </c>
      <c r="K13" s="37">
        <f t="shared" si="4"/>
        <v>6.6013037156886201</v>
      </c>
      <c r="L13" s="44">
        <f t="shared" si="5"/>
        <v>163.77444232076425</v>
      </c>
      <c r="M13" s="45">
        <f t="shared" si="6"/>
        <v>93.569412255343337</v>
      </c>
      <c r="O13" s="3">
        <v>22</v>
      </c>
      <c r="P13" s="3">
        <v>21</v>
      </c>
      <c r="Q13" s="26">
        <v>22</v>
      </c>
      <c r="R13" s="26">
        <v>22</v>
      </c>
      <c r="S13" s="26">
        <v>21</v>
      </c>
      <c r="T13" s="32">
        <v>23</v>
      </c>
      <c r="U13" s="26">
        <v>23</v>
      </c>
      <c r="V13" s="26">
        <v>21</v>
      </c>
      <c r="W13" s="26">
        <v>23</v>
      </c>
      <c r="X13" s="26">
        <v>23</v>
      </c>
      <c r="Y13" s="32">
        <v>23</v>
      </c>
      <c r="Z13" s="1">
        <v>23</v>
      </c>
      <c r="AA13" s="33">
        <v>23</v>
      </c>
      <c r="AB13" s="32">
        <v>23</v>
      </c>
      <c r="AC13" s="26">
        <f t="shared" si="1"/>
        <v>23</v>
      </c>
      <c r="AD13" s="26">
        <f t="shared" si="2"/>
        <v>23</v>
      </c>
    </row>
    <row r="14" spans="1:30" x14ac:dyDescent="0.25">
      <c r="A14" s="41">
        <f>SummaryReportBody!A12</f>
        <v>2017</v>
      </c>
      <c r="B14" s="42">
        <v>6</v>
      </c>
      <c r="C14" s="41">
        <v>2</v>
      </c>
      <c r="D14" s="43">
        <f t="shared" si="0"/>
        <v>8</v>
      </c>
      <c r="E14" s="44">
        <f>0.00110231131*SummaryReportBody!D12</f>
        <v>5.4324414626586801</v>
      </c>
      <c r="F14" s="44">
        <f>0.00110231131*SummaryReportBody!E12</f>
        <v>0.17361954288154999</v>
      </c>
      <c r="G14" s="44">
        <f>0.00110231131*SummaryReportBody!F12</f>
        <v>1.8516625385379997E-2</v>
      </c>
      <c r="H14" s="44">
        <f>0.00110231131*SummaryReportBody!G12</f>
        <v>8.2651302023800007E-3</v>
      </c>
      <c r="I14" s="45">
        <f t="shared" si="3"/>
        <v>0.20040129846930999</v>
      </c>
      <c r="J14" s="44">
        <f>0.00110231131*SummaryReportBody!H12</f>
        <v>3.5306502149871202</v>
      </c>
      <c r="K14" s="37">
        <f t="shared" si="4"/>
        <v>1.6032103877544799</v>
      </c>
      <c r="L14" s="44">
        <f t="shared" si="5"/>
        <v>43.459531701269441</v>
      </c>
      <c r="M14" s="45">
        <f t="shared" si="6"/>
        <v>28.245201719896961</v>
      </c>
      <c r="O14" s="3">
        <v>9</v>
      </c>
      <c r="P14" s="3">
        <v>8</v>
      </c>
      <c r="Q14" s="26">
        <v>9</v>
      </c>
      <c r="R14" s="26">
        <v>9</v>
      </c>
      <c r="S14" s="26">
        <v>8</v>
      </c>
      <c r="T14" s="32">
        <v>8</v>
      </c>
      <c r="U14" s="26">
        <v>9</v>
      </c>
      <c r="V14" s="26">
        <v>8</v>
      </c>
      <c r="W14" s="26">
        <v>10</v>
      </c>
      <c r="X14" s="26">
        <v>10</v>
      </c>
      <c r="Y14" s="32">
        <v>8</v>
      </c>
      <c r="Z14" s="1">
        <v>9</v>
      </c>
      <c r="AA14" s="33">
        <v>9</v>
      </c>
      <c r="AB14" s="32">
        <v>8</v>
      </c>
      <c r="AC14" s="26">
        <f t="shared" si="1"/>
        <v>8</v>
      </c>
      <c r="AD14" s="26">
        <f t="shared" si="2"/>
        <v>8</v>
      </c>
    </row>
    <row r="15" spans="1:30" x14ac:dyDescent="0.25">
      <c r="A15" s="41">
        <f>SummaryReportBody!A13</f>
        <v>2017</v>
      </c>
      <c r="B15" s="42">
        <v>6</v>
      </c>
      <c r="C15" s="41">
        <v>5</v>
      </c>
      <c r="D15" s="43">
        <f t="shared" si="0"/>
        <v>22</v>
      </c>
      <c r="E15" s="44">
        <f>0.00110231131*SummaryReportBody!D13</f>
        <v>6.7459523127207497</v>
      </c>
      <c r="F15" s="44">
        <f>0.00110231131*SummaryReportBody!E13</f>
        <v>0.24116256609049</v>
      </c>
      <c r="G15" s="44">
        <f>0.00110231131*SummaryReportBody!F13</f>
        <v>3.3252322977460003E-2</v>
      </c>
      <c r="H15" s="44">
        <f>0.00110231131*SummaryReportBody!G13</f>
        <v>1.1727490027089999E-2</v>
      </c>
      <c r="I15" s="45">
        <f t="shared" si="3"/>
        <v>0.28614237909503998</v>
      </c>
      <c r="J15" s="44">
        <f>0.00110231131*SummaryReportBody!H13</f>
        <v>4.1813787529307298</v>
      </c>
      <c r="K15" s="37">
        <f t="shared" si="4"/>
        <v>6.2951323400908796</v>
      </c>
      <c r="L15" s="44">
        <f t="shared" si="5"/>
        <v>148.4109508798565</v>
      </c>
      <c r="M15" s="45">
        <f t="shared" si="6"/>
        <v>91.990332564476063</v>
      </c>
      <c r="O15" s="3">
        <v>21</v>
      </c>
      <c r="P15" s="3">
        <v>22</v>
      </c>
      <c r="Q15" s="26">
        <v>21</v>
      </c>
      <c r="R15" s="26">
        <v>22</v>
      </c>
      <c r="S15" s="26">
        <v>22</v>
      </c>
      <c r="T15" s="32">
        <v>22</v>
      </c>
      <c r="U15" s="26">
        <v>21</v>
      </c>
      <c r="V15" s="26">
        <v>22</v>
      </c>
      <c r="W15" s="26">
        <v>20</v>
      </c>
      <c r="X15" s="26">
        <v>20</v>
      </c>
      <c r="Y15" s="32">
        <v>22</v>
      </c>
      <c r="Z15" s="1">
        <v>21</v>
      </c>
      <c r="AA15" s="33">
        <v>21</v>
      </c>
      <c r="AB15" s="32">
        <v>22</v>
      </c>
      <c r="AC15" s="26">
        <f t="shared" si="1"/>
        <v>22</v>
      </c>
      <c r="AD15" s="26">
        <f t="shared" si="2"/>
        <v>22</v>
      </c>
    </row>
    <row r="16" spans="1:30" x14ac:dyDescent="0.25">
      <c r="A16" s="41">
        <f>SummaryReportBody!A14</f>
        <v>2017</v>
      </c>
      <c r="B16" s="42">
        <v>7</v>
      </c>
      <c r="C16" s="41">
        <v>2</v>
      </c>
      <c r="D16" s="43">
        <f t="shared" si="0"/>
        <v>10</v>
      </c>
      <c r="E16" s="44">
        <f>0.00110231131*SummaryReportBody!D14</f>
        <v>5.3228816392464706</v>
      </c>
      <c r="F16" s="44">
        <f>0.00110231131*SummaryReportBody!E14</f>
        <v>0.17216338964104</v>
      </c>
      <c r="G16" s="44">
        <f>0.00110231131*SummaryReportBody!F14</f>
        <v>1.8258684538840001E-2</v>
      </c>
      <c r="H16" s="44">
        <f>0.00110231131*SummaryReportBody!G14</f>
        <v>8.1582060053100001E-3</v>
      </c>
      <c r="I16" s="45">
        <f t="shared" si="3"/>
        <v>0.19858028018519</v>
      </c>
      <c r="J16" s="44">
        <f>0.00110231131*SummaryReportBody!H14</f>
        <v>3.7029469842966698</v>
      </c>
      <c r="K16" s="37">
        <f t="shared" si="4"/>
        <v>1.9858028018519001</v>
      </c>
      <c r="L16" s="44">
        <f t="shared" si="5"/>
        <v>53.228816392464708</v>
      </c>
      <c r="M16" s="45">
        <f t="shared" si="6"/>
        <v>37.029469842966698</v>
      </c>
      <c r="O16" s="3">
        <v>8</v>
      </c>
      <c r="P16" s="3">
        <v>9</v>
      </c>
      <c r="Q16" s="26">
        <v>9</v>
      </c>
      <c r="R16" s="26">
        <v>8</v>
      </c>
      <c r="S16" s="26">
        <v>8</v>
      </c>
      <c r="T16" s="32">
        <v>10</v>
      </c>
      <c r="U16" s="26">
        <v>9</v>
      </c>
      <c r="V16" s="26">
        <v>9</v>
      </c>
      <c r="W16" s="26">
        <v>8</v>
      </c>
      <c r="X16" s="26">
        <v>8</v>
      </c>
      <c r="Y16" s="32">
        <v>10</v>
      </c>
      <c r="Z16" s="1">
        <v>9</v>
      </c>
      <c r="AA16" s="33">
        <v>9</v>
      </c>
      <c r="AB16" s="32">
        <v>10</v>
      </c>
      <c r="AC16" s="26">
        <f t="shared" si="1"/>
        <v>10</v>
      </c>
      <c r="AD16" s="26">
        <f t="shared" si="2"/>
        <v>10</v>
      </c>
    </row>
    <row r="17" spans="1:30" x14ac:dyDescent="0.25">
      <c r="A17" s="41">
        <f>SummaryReportBody!A15</f>
        <v>2017</v>
      </c>
      <c r="B17" s="42">
        <v>7</v>
      </c>
      <c r="C17" s="41">
        <v>5</v>
      </c>
      <c r="D17" s="43">
        <f t="shared" si="0"/>
        <v>21</v>
      </c>
      <c r="E17" s="44">
        <f>0.00110231131*SummaryReportBody!D15</f>
        <v>6.6220139405809002</v>
      </c>
      <c r="F17" s="44">
        <f>0.00110231131*SummaryReportBody!E15</f>
        <v>0.24006907327096999</v>
      </c>
      <c r="G17" s="44">
        <f>0.00110231131*SummaryReportBody!F15</f>
        <v>3.3025246847599998E-2</v>
      </c>
      <c r="H17" s="44">
        <f>0.00110231131*SummaryReportBody!G15</f>
        <v>1.163820281098E-2</v>
      </c>
      <c r="I17" s="45">
        <f t="shared" si="3"/>
        <v>0.28473252292954998</v>
      </c>
      <c r="J17" s="44">
        <f>0.00110231131*SummaryReportBody!H15</f>
        <v>4.3689105668557904</v>
      </c>
      <c r="K17" s="37">
        <f t="shared" si="4"/>
        <v>5.9793829815205495</v>
      </c>
      <c r="L17" s="44">
        <f t="shared" si="5"/>
        <v>139.06229275219891</v>
      </c>
      <c r="M17" s="45">
        <f t="shared" si="6"/>
        <v>91.747121903971603</v>
      </c>
      <c r="O17" s="3">
        <v>23</v>
      </c>
      <c r="P17" s="3">
        <v>22</v>
      </c>
      <c r="Q17" s="26">
        <v>22</v>
      </c>
      <c r="R17" s="26">
        <v>23</v>
      </c>
      <c r="S17" s="26">
        <v>23</v>
      </c>
      <c r="T17" s="32">
        <v>21</v>
      </c>
      <c r="U17" s="26">
        <v>22</v>
      </c>
      <c r="V17" s="26">
        <v>22</v>
      </c>
      <c r="W17" s="26">
        <v>23</v>
      </c>
      <c r="X17" s="26">
        <v>23</v>
      </c>
      <c r="Y17" s="32">
        <v>21</v>
      </c>
      <c r="Z17" s="1">
        <v>22</v>
      </c>
      <c r="AA17" s="33">
        <v>22</v>
      </c>
      <c r="AB17" s="32">
        <v>21</v>
      </c>
      <c r="AC17" s="26">
        <f t="shared" si="1"/>
        <v>21</v>
      </c>
      <c r="AD17" s="26">
        <f t="shared" si="2"/>
        <v>21</v>
      </c>
    </row>
    <row r="18" spans="1:30" x14ac:dyDescent="0.25">
      <c r="A18" s="41">
        <f>SummaryReportBody!A16</f>
        <v>2017</v>
      </c>
      <c r="B18" s="42">
        <v>8</v>
      </c>
      <c r="C18" s="41">
        <v>2</v>
      </c>
      <c r="D18" s="43">
        <f t="shared" si="0"/>
        <v>8</v>
      </c>
      <c r="E18" s="44">
        <f>0.00110231131*SummaryReportBody!D16</f>
        <v>5.2135378688510201</v>
      </c>
      <c r="F18" s="44">
        <f>0.00110231131*SummaryReportBody!E16</f>
        <v>0.16906479254862999</v>
      </c>
      <c r="G18" s="44">
        <f>0.00110231131*SummaryReportBody!F16</f>
        <v>1.7979799777409999E-2</v>
      </c>
      <c r="H18" s="44">
        <f>0.00110231131*SummaryReportBody!G16</f>
        <v>8.0027801105999989E-3</v>
      </c>
      <c r="I18" s="45">
        <f t="shared" si="3"/>
        <v>0.19504737243663997</v>
      </c>
      <c r="J18" s="44">
        <f>0.00110231131*SummaryReportBody!H16</f>
        <v>3.5894166355458399</v>
      </c>
      <c r="K18" s="37">
        <f t="shared" si="4"/>
        <v>1.5603789794931198</v>
      </c>
      <c r="L18" s="44">
        <f t="shared" si="5"/>
        <v>41.708302950808161</v>
      </c>
      <c r="M18" s="45">
        <f t="shared" si="6"/>
        <v>28.715333084366719</v>
      </c>
      <c r="O18" s="3">
        <v>10</v>
      </c>
      <c r="P18" s="3">
        <v>9</v>
      </c>
      <c r="Q18" s="26">
        <v>8</v>
      </c>
      <c r="R18" s="26">
        <v>9</v>
      </c>
      <c r="S18" s="26">
        <v>10</v>
      </c>
      <c r="T18" s="32">
        <v>8</v>
      </c>
      <c r="U18" s="26">
        <v>8</v>
      </c>
      <c r="V18" s="26">
        <v>9</v>
      </c>
      <c r="W18" s="26">
        <v>9</v>
      </c>
      <c r="X18" s="26">
        <v>9</v>
      </c>
      <c r="Y18" s="32">
        <v>8</v>
      </c>
      <c r="Z18" s="1">
        <v>8</v>
      </c>
      <c r="AA18" s="33">
        <v>8</v>
      </c>
      <c r="AB18" s="32">
        <v>8</v>
      </c>
      <c r="AC18" s="26">
        <f t="shared" si="1"/>
        <v>8</v>
      </c>
      <c r="AD18" s="26">
        <f t="shared" si="2"/>
        <v>8</v>
      </c>
    </row>
    <row r="19" spans="1:30" x14ac:dyDescent="0.25">
      <c r="A19" s="41">
        <f>SummaryReportBody!A17</f>
        <v>2017</v>
      </c>
      <c r="B19" s="42">
        <v>8</v>
      </c>
      <c r="C19" s="41">
        <v>5</v>
      </c>
      <c r="D19" s="43">
        <f t="shared" si="0"/>
        <v>23</v>
      </c>
      <c r="E19" s="44">
        <f>0.00110231131*SummaryReportBody!D17</f>
        <v>6.5841407285919198</v>
      </c>
      <c r="F19" s="44">
        <f>0.00110231131*SummaryReportBody!E17</f>
        <v>0.23989380577267999</v>
      </c>
      <c r="G19" s="44">
        <f>0.00110231131*SummaryReportBody!F17</f>
        <v>3.2924936518389999E-2</v>
      </c>
      <c r="H19" s="44">
        <f>0.00110231131*SummaryReportBody!G17</f>
        <v>1.160844040561E-2</v>
      </c>
      <c r="I19" s="45">
        <f t="shared" si="3"/>
        <v>0.28442718269667999</v>
      </c>
      <c r="J19" s="44">
        <f>0.00110231131*SummaryReportBody!H17</f>
        <v>4.2655710861659104</v>
      </c>
      <c r="K19" s="37">
        <f t="shared" si="4"/>
        <v>6.5418252020236398</v>
      </c>
      <c r="L19" s="44">
        <f t="shared" si="5"/>
        <v>151.43523675761415</v>
      </c>
      <c r="M19" s="45">
        <f t="shared" si="6"/>
        <v>98.108134981815937</v>
      </c>
      <c r="O19" s="3">
        <v>21</v>
      </c>
      <c r="P19" s="3">
        <v>22</v>
      </c>
      <c r="Q19" s="26">
        <v>23</v>
      </c>
      <c r="R19" s="26">
        <v>21</v>
      </c>
      <c r="S19" s="26">
        <v>21</v>
      </c>
      <c r="T19" s="32">
        <v>23</v>
      </c>
      <c r="U19" s="26">
        <v>23</v>
      </c>
      <c r="V19" s="26">
        <v>22</v>
      </c>
      <c r="W19" s="26">
        <v>22</v>
      </c>
      <c r="X19" s="26">
        <v>22</v>
      </c>
      <c r="Y19" s="32">
        <v>23</v>
      </c>
      <c r="Z19" s="1">
        <v>23</v>
      </c>
      <c r="AA19" s="33">
        <v>23</v>
      </c>
      <c r="AB19" s="32">
        <v>23</v>
      </c>
      <c r="AC19" s="26">
        <f t="shared" si="1"/>
        <v>23</v>
      </c>
      <c r="AD19" s="26">
        <f t="shared" si="2"/>
        <v>23</v>
      </c>
    </row>
    <row r="20" spans="1:30" x14ac:dyDescent="0.25">
      <c r="A20" s="41">
        <f>SummaryReportBody!A18</f>
        <v>2017</v>
      </c>
      <c r="B20" s="42">
        <v>9</v>
      </c>
      <c r="C20" s="41">
        <v>2</v>
      </c>
      <c r="D20" s="43">
        <f t="shared" si="0"/>
        <v>9</v>
      </c>
      <c r="E20" s="44">
        <f>0.00110231131*SummaryReportBody!D18</f>
        <v>5.2993583158910704</v>
      </c>
      <c r="F20" s="44">
        <f>0.00110231131*SummaryReportBody!E18</f>
        <v>0.16168040908294001</v>
      </c>
      <c r="G20" s="44">
        <f>0.00110231131*SummaryReportBody!F18</f>
        <v>1.7101257663339999E-2</v>
      </c>
      <c r="H20" s="44">
        <f>0.00110231131*SummaryReportBody!G18</f>
        <v>7.6368127556800001E-3</v>
      </c>
      <c r="I20" s="45">
        <f t="shared" si="3"/>
        <v>0.18641847950196003</v>
      </c>
      <c r="J20" s="44">
        <f>0.00110231131*SummaryReportBody!H18</f>
        <v>3.43596938963729</v>
      </c>
      <c r="K20" s="37">
        <f t="shared" si="4"/>
        <v>1.6777663155176403</v>
      </c>
      <c r="L20" s="44">
        <f t="shared" si="5"/>
        <v>47.694224843019633</v>
      </c>
      <c r="M20" s="45">
        <f t="shared" si="6"/>
        <v>30.92372450673561</v>
      </c>
      <c r="O20" s="3">
        <v>8</v>
      </c>
      <c r="P20" s="3">
        <v>8</v>
      </c>
      <c r="Q20" s="26">
        <v>10</v>
      </c>
      <c r="R20" s="26">
        <v>8</v>
      </c>
      <c r="S20" s="26">
        <v>8</v>
      </c>
      <c r="T20" s="32">
        <v>9</v>
      </c>
      <c r="U20" s="26">
        <v>10</v>
      </c>
      <c r="V20" s="26">
        <v>8</v>
      </c>
      <c r="W20" s="26">
        <v>9</v>
      </c>
      <c r="X20" s="26">
        <v>9</v>
      </c>
      <c r="Y20" s="32">
        <v>9</v>
      </c>
      <c r="Z20" s="1">
        <v>10</v>
      </c>
      <c r="AA20" s="33">
        <v>10</v>
      </c>
      <c r="AB20" s="32">
        <v>9</v>
      </c>
      <c r="AC20" s="26">
        <f t="shared" si="1"/>
        <v>9</v>
      </c>
      <c r="AD20" s="26">
        <f t="shared" si="2"/>
        <v>9</v>
      </c>
    </row>
    <row r="21" spans="1:30" x14ac:dyDescent="0.25">
      <c r="A21" s="41">
        <f>SummaryReportBody!A19</f>
        <v>2017</v>
      </c>
      <c r="B21" s="42">
        <v>9</v>
      </c>
      <c r="C21" s="41">
        <v>5</v>
      </c>
      <c r="D21" s="43">
        <f t="shared" si="0"/>
        <v>21</v>
      </c>
      <c r="E21" s="44">
        <f>0.00110231131*SummaryReportBody!D19</f>
        <v>6.8943366427824699</v>
      </c>
      <c r="F21" s="44">
        <f>0.00110231131*SummaryReportBody!E19</f>
        <v>0.23760981673836001</v>
      </c>
      <c r="G21" s="44">
        <f>0.00110231131*SummaryReportBody!F19</f>
        <v>3.261077779504E-2</v>
      </c>
      <c r="H21" s="44">
        <f>0.00110231131*SummaryReportBody!G19</f>
        <v>1.1501516208539999E-2</v>
      </c>
      <c r="I21" s="45">
        <f t="shared" si="3"/>
        <v>0.28172211074194003</v>
      </c>
      <c r="J21" s="44">
        <f>0.00110231131*SummaryReportBody!H19</f>
        <v>4.1274305351080196</v>
      </c>
      <c r="K21" s="37">
        <f t="shared" si="4"/>
        <v>5.9161643255807403</v>
      </c>
      <c r="L21" s="44">
        <f t="shared" si="5"/>
        <v>144.78106949843186</v>
      </c>
      <c r="M21" s="45">
        <f t="shared" si="6"/>
        <v>86.676041237268407</v>
      </c>
      <c r="O21" s="3">
        <v>22</v>
      </c>
      <c r="P21" s="3">
        <v>22</v>
      </c>
      <c r="Q21" s="26">
        <v>20</v>
      </c>
      <c r="R21" s="26">
        <v>22</v>
      </c>
      <c r="S21" s="26">
        <v>22</v>
      </c>
      <c r="T21" s="32">
        <v>21</v>
      </c>
      <c r="U21" s="26">
        <v>20</v>
      </c>
      <c r="V21" s="26">
        <v>22</v>
      </c>
      <c r="W21" s="26">
        <v>21</v>
      </c>
      <c r="X21" s="26">
        <v>21</v>
      </c>
      <c r="Y21" s="32">
        <v>21</v>
      </c>
      <c r="Z21" s="1">
        <v>20</v>
      </c>
      <c r="AA21" s="33">
        <v>20</v>
      </c>
      <c r="AB21" s="32">
        <v>21</v>
      </c>
      <c r="AC21" s="26">
        <f t="shared" si="1"/>
        <v>21</v>
      </c>
      <c r="AD21" s="26">
        <f t="shared" si="2"/>
        <v>21</v>
      </c>
    </row>
    <row r="22" spans="1:30" x14ac:dyDescent="0.25">
      <c r="A22" s="41">
        <f>SummaryReportBody!A20</f>
        <v>2017</v>
      </c>
      <c r="B22" s="42">
        <v>10</v>
      </c>
      <c r="C22" s="41">
        <v>2</v>
      </c>
      <c r="D22" s="43">
        <f t="shared" si="0"/>
        <v>9</v>
      </c>
      <c r="E22" s="44">
        <f>0.00110231131*SummaryReportBody!D20</f>
        <v>5.7373407710046802</v>
      </c>
      <c r="F22" s="44">
        <f>0.00110231131*SummaryReportBody!E20</f>
        <v>0.16870433675025998</v>
      </c>
      <c r="G22" s="44">
        <f>0.00110231131*SummaryReportBody!F20</f>
        <v>1.7893819495230001E-2</v>
      </c>
      <c r="H22" s="44">
        <f>0.00110231131*SummaryReportBody!G20</f>
        <v>8.0358494499000004E-3</v>
      </c>
      <c r="I22" s="45">
        <f t="shared" si="3"/>
        <v>0.19463400569538997</v>
      </c>
      <c r="J22" s="44">
        <f>0.00110231131*SummaryReportBody!H20</f>
        <v>3.20598866947544</v>
      </c>
      <c r="K22" s="37">
        <f t="shared" si="4"/>
        <v>1.7517060512585096</v>
      </c>
      <c r="L22" s="44">
        <f t="shared" si="5"/>
        <v>51.636066939042124</v>
      </c>
      <c r="M22" s="45">
        <f t="shared" si="6"/>
        <v>28.853898025278959</v>
      </c>
      <c r="O22" s="3">
        <v>8</v>
      </c>
      <c r="P22" s="3">
        <v>10</v>
      </c>
      <c r="Q22" s="26">
        <v>8</v>
      </c>
      <c r="R22" s="26">
        <v>8</v>
      </c>
      <c r="S22" s="26">
        <v>9</v>
      </c>
      <c r="T22" s="32">
        <v>9</v>
      </c>
      <c r="U22" s="26">
        <v>8</v>
      </c>
      <c r="V22" s="26">
        <v>10</v>
      </c>
      <c r="W22" s="26">
        <v>8</v>
      </c>
      <c r="X22" s="26">
        <v>8</v>
      </c>
      <c r="Y22" s="32">
        <v>9</v>
      </c>
      <c r="Z22" s="1">
        <v>8</v>
      </c>
      <c r="AA22" s="33">
        <v>8</v>
      </c>
      <c r="AB22" s="32">
        <v>9</v>
      </c>
      <c r="AC22" s="26">
        <f t="shared" si="1"/>
        <v>9</v>
      </c>
      <c r="AD22" s="26">
        <f t="shared" si="2"/>
        <v>9</v>
      </c>
    </row>
    <row r="23" spans="1:30" x14ac:dyDescent="0.25">
      <c r="A23" s="41">
        <f>SummaryReportBody!A21</f>
        <v>2017</v>
      </c>
      <c r="B23" s="42">
        <v>10</v>
      </c>
      <c r="C23" s="41">
        <v>5</v>
      </c>
      <c r="D23" s="43">
        <f t="shared" si="0"/>
        <v>22</v>
      </c>
      <c r="E23" s="44">
        <f>0.00110231131*SummaryReportBody!D21</f>
        <v>7.2445850384218691</v>
      </c>
      <c r="F23" s="44">
        <f>0.00110231131*SummaryReportBody!E21</f>
        <v>0.23992577280067001</v>
      </c>
      <c r="G23" s="44">
        <f>0.00110231131*SummaryReportBody!F21</f>
        <v>3.3115636375019998E-2</v>
      </c>
      <c r="H23" s="44">
        <f>0.00110231131*SummaryReportBody!G21</f>
        <v>1.166465828242E-2</v>
      </c>
      <c r="I23" s="45">
        <f t="shared" si="3"/>
        <v>0.28470606745811006</v>
      </c>
      <c r="J23" s="44">
        <f>0.00110231131*SummaryReportBody!H21</f>
        <v>3.85164326845912</v>
      </c>
      <c r="K23" s="37">
        <f t="shared" si="4"/>
        <v>6.2635334840784216</v>
      </c>
      <c r="L23" s="44">
        <f t="shared" si="5"/>
        <v>159.38087084528112</v>
      </c>
      <c r="M23" s="45">
        <f t="shared" si="6"/>
        <v>84.736151906100645</v>
      </c>
      <c r="O23" s="3">
        <v>23</v>
      </c>
      <c r="P23" s="3">
        <v>21</v>
      </c>
      <c r="Q23" s="26">
        <v>23</v>
      </c>
      <c r="R23" s="26">
        <v>23</v>
      </c>
      <c r="S23" s="26">
        <v>22</v>
      </c>
      <c r="T23" s="32">
        <v>22</v>
      </c>
      <c r="U23" s="26">
        <v>23</v>
      </c>
      <c r="V23" s="26">
        <v>21</v>
      </c>
      <c r="W23" s="26">
        <v>23</v>
      </c>
      <c r="X23" s="26">
        <v>23</v>
      </c>
      <c r="Y23" s="32">
        <v>22</v>
      </c>
      <c r="Z23" s="1">
        <v>23</v>
      </c>
      <c r="AA23" s="33">
        <v>23</v>
      </c>
      <c r="AB23" s="32">
        <v>22</v>
      </c>
      <c r="AC23" s="26">
        <f t="shared" si="1"/>
        <v>22</v>
      </c>
      <c r="AD23" s="26">
        <f t="shared" si="2"/>
        <v>22</v>
      </c>
    </row>
    <row r="24" spans="1:30" x14ac:dyDescent="0.25">
      <c r="A24" s="41">
        <f>SummaryReportBody!A22</f>
        <v>2017</v>
      </c>
      <c r="B24" s="42">
        <v>11</v>
      </c>
      <c r="C24" s="41">
        <v>2</v>
      </c>
      <c r="D24" s="43">
        <f t="shared" si="0"/>
        <v>8</v>
      </c>
      <c r="E24" s="44">
        <f>0.00110231131*SummaryReportBody!D22</f>
        <v>5.6293649689449401</v>
      </c>
      <c r="F24" s="44">
        <f>0.00110231131*SummaryReportBody!E22</f>
        <v>0.16345182335811001</v>
      </c>
      <c r="G24" s="44">
        <f>0.00110231131*SummaryReportBody!F22</f>
        <v>1.623373866237E-2</v>
      </c>
      <c r="H24" s="44">
        <f>0.00110231131*SummaryReportBody!G22</f>
        <v>7.34910950377E-3</v>
      </c>
      <c r="I24" s="45">
        <f t="shared" si="3"/>
        <v>0.18703467152424999</v>
      </c>
      <c r="J24" s="44">
        <f>0.00110231131*SummaryReportBody!H22</f>
        <v>3.1025676177486199</v>
      </c>
      <c r="K24" s="37">
        <f t="shared" si="4"/>
        <v>1.4962773721939999</v>
      </c>
      <c r="L24" s="44">
        <f t="shared" si="5"/>
        <v>45.034919751559521</v>
      </c>
      <c r="M24" s="45">
        <f t="shared" si="6"/>
        <v>24.820540941988959</v>
      </c>
      <c r="O24" s="3">
        <v>10</v>
      </c>
      <c r="P24" s="3">
        <v>8</v>
      </c>
      <c r="Q24" s="26">
        <v>8</v>
      </c>
      <c r="R24" s="26">
        <v>9</v>
      </c>
      <c r="S24" s="26">
        <v>9</v>
      </c>
      <c r="T24" s="32">
        <v>8</v>
      </c>
      <c r="U24" s="26">
        <v>8</v>
      </c>
      <c r="V24" s="26">
        <v>8</v>
      </c>
      <c r="W24" s="26">
        <v>9</v>
      </c>
      <c r="X24" s="26">
        <v>9</v>
      </c>
      <c r="Y24" s="32">
        <v>8</v>
      </c>
      <c r="Z24" s="1">
        <v>8</v>
      </c>
      <c r="AA24" s="33">
        <v>8</v>
      </c>
      <c r="AB24" s="32">
        <v>8</v>
      </c>
      <c r="AC24" s="26">
        <f t="shared" si="1"/>
        <v>8</v>
      </c>
      <c r="AD24" s="26">
        <f t="shared" si="2"/>
        <v>8</v>
      </c>
    </row>
    <row r="25" spans="1:30" x14ac:dyDescent="0.25">
      <c r="A25" s="41">
        <f>SummaryReportBody!A23</f>
        <v>2017</v>
      </c>
      <c r="B25" s="42">
        <v>11</v>
      </c>
      <c r="C25" s="41">
        <v>5</v>
      </c>
      <c r="D25" s="43">
        <f t="shared" si="0"/>
        <v>22</v>
      </c>
      <c r="E25" s="44">
        <f>0.00110231131*SummaryReportBody!D23</f>
        <v>7.2769874793793203</v>
      </c>
      <c r="F25" s="44">
        <f>0.00110231131*SummaryReportBody!E23</f>
        <v>0.2391023462521</v>
      </c>
      <c r="G25" s="44">
        <f>0.00110231131*SummaryReportBody!F23</f>
        <v>3.1507364173729999E-2</v>
      </c>
      <c r="H25" s="44">
        <f>0.00110231131*SummaryReportBody!G23</f>
        <v>1.1080433288119999E-2</v>
      </c>
      <c r="I25" s="45">
        <f t="shared" si="3"/>
        <v>0.28169014371394996</v>
      </c>
      <c r="J25" s="44">
        <f>0.00110231131*SummaryReportBody!H23</f>
        <v>3.7787771839341899</v>
      </c>
      <c r="K25" s="37">
        <f t="shared" si="4"/>
        <v>6.1971831617068993</v>
      </c>
      <c r="L25" s="44">
        <f t="shared" si="5"/>
        <v>160.09372454634504</v>
      </c>
      <c r="M25" s="45">
        <f t="shared" si="6"/>
        <v>83.133098046552178</v>
      </c>
      <c r="O25" s="3">
        <v>20</v>
      </c>
      <c r="P25" s="3">
        <v>22</v>
      </c>
      <c r="Q25" s="26">
        <v>22</v>
      </c>
      <c r="R25" s="26">
        <v>22</v>
      </c>
      <c r="S25" s="26">
        <v>21</v>
      </c>
      <c r="T25" s="32">
        <v>22</v>
      </c>
      <c r="U25" s="26">
        <v>22</v>
      </c>
      <c r="V25" s="26">
        <v>22</v>
      </c>
      <c r="W25" s="26">
        <v>21</v>
      </c>
      <c r="X25" s="26">
        <v>21</v>
      </c>
      <c r="Y25" s="32">
        <v>22</v>
      </c>
      <c r="Z25" s="1">
        <v>22</v>
      </c>
      <c r="AA25" s="33">
        <v>22</v>
      </c>
      <c r="AB25" s="32">
        <v>22</v>
      </c>
      <c r="AC25" s="26">
        <f t="shared" si="1"/>
        <v>22</v>
      </c>
      <c r="AD25" s="26">
        <f t="shared" si="2"/>
        <v>22</v>
      </c>
    </row>
    <row r="26" spans="1:30" x14ac:dyDescent="0.25">
      <c r="A26" s="41">
        <f>SummaryReportBody!A24</f>
        <v>2017</v>
      </c>
      <c r="B26" s="42">
        <v>12</v>
      </c>
      <c r="C26" s="41">
        <v>2</v>
      </c>
      <c r="D26" s="43">
        <f t="shared" si="0"/>
        <v>10</v>
      </c>
      <c r="E26" s="44">
        <f>0.00110231131*SummaryReportBody!D24</f>
        <v>5.7512155634636501</v>
      </c>
      <c r="F26" s="44">
        <f>0.00110231131*SummaryReportBody!E24</f>
        <v>0.17578668691700999</v>
      </c>
      <c r="G26" s="44">
        <f>0.00110231131*SummaryReportBody!F24</f>
        <v>1.646301941485E-2</v>
      </c>
      <c r="H26" s="44">
        <f>0.00110231131*SummaryReportBody!G24</f>
        <v>7.2421853067000004E-3</v>
      </c>
      <c r="I26" s="45">
        <f t="shared" si="3"/>
        <v>0.19949189163856001</v>
      </c>
      <c r="J26" s="44">
        <f>0.00110231131*SummaryReportBody!H24</f>
        <v>3.1382780949473799</v>
      </c>
      <c r="K26" s="37">
        <f t="shared" si="4"/>
        <v>1.9949189163856</v>
      </c>
      <c r="L26" s="44">
        <f t="shared" si="5"/>
        <v>57.5121556346365</v>
      </c>
      <c r="M26" s="45">
        <f t="shared" si="6"/>
        <v>31.382780949473798</v>
      </c>
      <c r="O26" s="3">
        <v>8</v>
      </c>
      <c r="P26" s="3">
        <v>8</v>
      </c>
      <c r="Q26" s="26">
        <v>10</v>
      </c>
      <c r="R26" s="26">
        <v>8</v>
      </c>
      <c r="S26" s="26">
        <v>8</v>
      </c>
      <c r="T26" s="32">
        <v>10</v>
      </c>
      <c r="U26" s="26">
        <v>10</v>
      </c>
      <c r="V26" s="26">
        <v>8</v>
      </c>
      <c r="W26" s="26">
        <v>9</v>
      </c>
      <c r="X26" s="26">
        <v>9</v>
      </c>
      <c r="Y26" s="32">
        <v>10</v>
      </c>
      <c r="Z26" s="1">
        <v>10</v>
      </c>
      <c r="AA26" s="33">
        <v>10</v>
      </c>
      <c r="AB26" s="32">
        <v>10</v>
      </c>
      <c r="AC26" s="26">
        <f t="shared" si="1"/>
        <v>10</v>
      </c>
      <c r="AD26" s="26">
        <f t="shared" si="2"/>
        <v>10</v>
      </c>
    </row>
    <row r="27" spans="1:30" x14ac:dyDescent="0.25">
      <c r="A27" s="41">
        <f>SummaryReportBody!A25</f>
        <v>2017</v>
      </c>
      <c r="B27" s="42">
        <v>12</v>
      </c>
      <c r="C27" s="41">
        <v>5</v>
      </c>
      <c r="D27" s="43">
        <f t="shared" si="0"/>
        <v>21</v>
      </c>
      <c r="E27" s="44">
        <f>0.00110231131*SummaryReportBody!D25</f>
        <v>7.6117076155947503</v>
      </c>
      <c r="F27" s="44">
        <f>0.00110231131*SummaryReportBody!E25</f>
        <v>0.25956675572224996</v>
      </c>
      <c r="G27" s="44">
        <f>0.00110231131*SummaryReportBody!F25</f>
        <v>3.1191000827759999E-2</v>
      </c>
      <c r="H27" s="44">
        <f>0.00110231131*SummaryReportBody!G25</f>
        <v>1.1027522345239999E-2</v>
      </c>
      <c r="I27" s="45">
        <f t="shared" si="3"/>
        <v>0.30178527889524998</v>
      </c>
      <c r="J27" s="44">
        <f>0.00110231131*SummaryReportBody!H25</f>
        <v>3.8433351481156497</v>
      </c>
      <c r="K27" s="37">
        <f t="shared" si="4"/>
        <v>6.3374908568002493</v>
      </c>
      <c r="L27" s="44">
        <f t="shared" si="5"/>
        <v>159.84585992748976</v>
      </c>
      <c r="M27" s="45">
        <f t="shared" si="6"/>
        <v>80.710038110428641</v>
      </c>
      <c r="O27" s="3">
        <v>23</v>
      </c>
      <c r="P27" s="3">
        <v>23</v>
      </c>
      <c r="Q27" s="26">
        <v>21</v>
      </c>
      <c r="R27" s="26">
        <v>23</v>
      </c>
      <c r="S27" s="26">
        <v>23</v>
      </c>
      <c r="T27" s="32">
        <v>21</v>
      </c>
      <c r="U27" s="26">
        <v>21</v>
      </c>
      <c r="V27" s="26">
        <v>23</v>
      </c>
      <c r="W27" s="26">
        <v>22</v>
      </c>
      <c r="X27" s="26">
        <v>22</v>
      </c>
      <c r="Y27" s="32">
        <v>21</v>
      </c>
      <c r="Z27" s="1">
        <v>21</v>
      </c>
      <c r="AA27" s="33">
        <v>21</v>
      </c>
      <c r="AB27" s="32">
        <v>21</v>
      </c>
      <c r="AC27" s="26">
        <f t="shared" si="1"/>
        <v>21</v>
      </c>
      <c r="AD27" s="26">
        <f t="shared" si="2"/>
        <v>21</v>
      </c>
    </row>
    <row r="28" spans="1:30" ht="30" x14ac:dyDescent="0.25">
      <c r="A28" s="4"/>
      <c r="B28" s="5" t="s">
        <v>9</v>
      </c>
      <c r="C28" s="6" t="s">
        <v>10</v>
      </c>
      <c r="D28" s="8">
        <f>SUM(D4:D27)</f>
        <v>365</v>
      </c>
      <c r="E28" s="2" t="s">
        <v>10</v>
      </c>
      <c r="F28" s="7">
        <f>SUM(F4:F27)</f>
        <v>4.8343008903812397</v>
      </c>
      <c r="G28" s="7">
        <f>SUM(G4:G27)</f>
        <v>0.58661149828615</v>
      </c>
      <c r="H28" s="7">
        <f>SUM(H4:H27)</f>
        <v>0.22599586477619998</v>
      </c>
      <c r="I28" s="2" t="s">
        <v>10</v>
      </c>
      <c r="J28" s="7" t="s">
        <v>10</v>
      </c>
      <c r="K28" s="7"/>
      <c r="L28" s="7">
        <f>SUM(L4:L27)</f>
        <v>2407.1084586021325</v>
      </c>
      <c r="M28" s="7">
        <f>SUM(M4:M27)</f>
        <v>1374.4139302369724</v>
      </c>
      <c r="O28" s="3"/>
      <c r="P28" s="3"/>
      <c r="Z28" s="1"/>
    </row>
    <row r="29" spans="1:30" ht="60" x14ac:dyDescent="0.25">
      <c r="A29" s="4" t="s">
        <v>11</v>
      </c>
      <c r="B29" s="5" t="s">
        <v>12</v>
      </c>
      <c r="C29" s="6" t="s">
        <v>10</v>
      </c>
      <c r="D29" s="10"/>
      <c r="E29" s="12" t="s">
        <v>10</v>
      </c>
      <c r="F29" s="9">
        <f>(F28+G28+H28)</f>
        <v>5.6469082534435895</v>
      </c>
      <c r="G29" s="10"/>
      <c r="H29" s="10"/>
      <c r="I29" s="12" t="s">
        <v>10</v>
      </c>
      <c r="J29" s="11" t="s">
        <v>10</v>
      </c>
      <c r="K29" s="11"/>
      <c r="L29" s="9">
        <f>L28</f>
        <v>2407.1084586021325</v>
      </c>
      <c r="M29" s="2"/>
      <c r="O29" s="34">
        <f>SUM(O4:O27)</f>
        <v>366</v>
      </c>
      <c r="P29" s="34">
        <f t="shared" ref="P29:AD29" si="7">SUM(P4:P27)</f>
        <v>365</v>
      </c>
      <c r="Q29" s="34">
        <f t="shared" si="7"/>
        <v>366</v>
      </c>
      <c r="R29" s="34">
        <f t="shared" si="7"/>
        <v>366</v>
      </c>
      <c r="S29" s="34">
        <f t="shared" si="7"/>
        <v>365</v>
      </c>
      <c r="T29" s="35">
        <f t="shared" si="7"/>
        <v>365</v>
      </c>
      <c r="U29" s="34">
        <f t="shared" si="7"/>
        <v>365</v>
      </c>
      <c r="V29" s="34">
        <f t="shared" si="7"/>
        <v>365</v>
      </c>
      <c r="W29" s="34">
        <f t="shared" si="7"/>
        <v>366</v>
      </c>
      <c r="X29" s="34">
        <f t="shared" si="7"/>
        <v>365</v>
      </c>
      <c r="Y29" s="35">
        <f t="shared" si="7"/>
        <v>365</v>
      </c>
      <c r="Z29" s="34">
        <f t="shared" si="7"/>
        <v>365</v>
      </c>
      <c r="AA29" s="36">
        <f t="shared" si="7"/>
        <v>366</v>
      </c>
      <c r="AB29" s="35">
        <f t="shared" si="7"/>
        <v>365</v>
      </c>
      <c r="AC29" s="34">
        <f t="shared" si="7"/>
        <v>365</v>
      </c>
      <c r="AD29" s="34">
        <f t="shared" si="7"/>
        <v>365</v>
      </c>
    </row>
    <row r="30" spans="1:30" ht="30" x14ac:dyDescent="0.25">
      <c r="A30" s="4" t="s">
        <v>13</v>
      </c>
      <c r="B30" s="5" t="s">
        <v>14</v>
      </c>
      <c r="C30" s="6"/>
      <c r="D30" s="10"/>
      <c r="E30" s="10"/>
      <c r="F30" s="10"/>
      <c r="G30" s="10"/>
      <c r="H30" s="10"/>
      <c r="I30" s="10"/>
      <c r="J30" s="13" t="s">
        <v>10</v>
      </c>
      <c r="K30" s="13"/>
      <c r="L30" s="13">
        <f>L28/D28</f>
        <v>6.594817694800363</v>
      </c>
      <c r="M30" s="14">
        <f>M28/D28</f>
        <v>3.7655176170875957</v>
      </c>
    </row>
    <row r="31" spans="1:30" ht="30" x14ac:dyDescent="0.25">
      <c r="A31" s="4" t="s">
        <v>13</v>
      </c>
      <c r="B31" s="5" t="s">
        <v>15</v>
      </c>
      <c r="C31" s="6"/>
      <c r="D31" s="16"/>
      <c r="E31" s="15">
        <f>MAX(E4:E27)</f>
        <v>7.6117076155947503</v>
      </c>
      <c r="F31" s="10"/>
      <c r="G31" s="10"/>
      <c r="H31" s="10"/>
      <c r="I31" s="10"/>
      <c r="J31" s="15">
        <f>MAX(J4:J27)</f>
        <v>4.3689105668557904</v>
      </c>
      <c r="K31" s="15"/>
      <c r="L31" s="13"/>
      <c r="M31" s="14"/>
    </row>
    <row r="32" spans="1:30" ht="30" x14ac:dyDescent="0.25">
      <c r="A32" s="4" t="s">
        <v>10</v>
      </c>
      <c r="B32" s="5" t="s">
        <v>16</v>
      </c>
      <c r="C32" s="1"/>
      <c r="D32" s="18">
        <f>D4+D6+D8+D10+D12+D14+D16+D18+D20+D22+D24+D26</f>
        <v>105</v>
      </c>
      <c r="E32" s="10"/>
      <c r="F32" s="17">
        <f>F4+F6+F8+F10+F12+F14+F16+F18+F20+F22+F24+F26</f>
        <v>1.9784867616874298</v>
      </c>
      <c r="G32" s="17">
        <f>G4+G6+G8+G10+G12+G14+G16+G18+G20+G22+G24+G26</f>
        <v>0.20451953352346999</v>
      </c>
      <c r="H32" s="17">
        <f>H4+H6+H8+H10+H12+H14+H16+H18+H20+H22+H24+H26</f>
        <v>9.1250432553110009E-2</v>
      </c>
      <c r="I32" s="10"/>
      <c r="J32" s="17" t="s">
        <v>10</v>
      </c>
      <c r="K32" s="17"/>
      <c r="L32" s="17">
        <f>L4+L6+L8+L10+L12+L14+L16+L18+L20+L22+L24+L26</f>
        <v>576.62258468030507</v>
      </c>
      <c r="M32" s="2"/>
    </row>
    <row r="33" spans="1:13" ht="30" x14ac:dyDescent="0.25">
      <c r="A33" s="4" t="s">
        <v>10</v>
      </c>
      <c r="B33" s="5" t="s">
        <v>17</v>
      </c>
      <c r="C33" s="1"/>
      <c r="D33" s="18">
        <f>D5+D7+D9+D11+D13+D15+D17+D19+D21+D23+D25+D27</f>
        <v>260</v>
      </c>
      <c r="E33" s="10"/>
      <c r="F33" s="17">
        <f t="shared" ref="F33:H33" si="8">F5+F7+F9+F11+F13+F15+F17+F19+F21+F23+F25+F27</f>
        <v>2.8558141286938099</v>
      </c>
      <c r="G33" s="17">
        <f t="shared" si="8"/>
        <v>0.38209196476268004</v>
      </c>
      <c r="H33" s="17">
        <f t="shared" si="8"/>
        <v>0.13474543222308999</v>
      </c>
      <c r="I33" s="10"/>
      <c r="J33" s="17" t="s">
        <v>10</v>
      </c>
      <c r="K33" s="17"/>
      <c r="L33" s="17">
        <f>L5+L7+L9+L11+L13+L15+L17+L19+L21+L23+L25+L27</f>
        <v>1830.4858739218275</v>
      </c>
      <c r="M33" s="2"/>
    </row>
    <row r="34" spans="1:13" ht="60" x14ac:dyDescent="0.25">
      <c r="A34" s="4" t="s">
        <v>18</v>
      </c>
      <c r="B34" s="5" t="s">
        <v>19</v>
      </c>
      <c r="C34" s="6"/>
      <c r="D34" s="20"/>
      <c r="E34" s="20"/>
      <c r="F34" s="19">
        <f>SUM(F33:H33)/D33</f>
        <v>1.2971736637229152E-2</v>
      </c>
      <c r="G34" s="20"/>
      <c r="H34" s="20"/>
      <c r="I34" s="20"/>
      <c r="J34" s="20"/>
      <c r="K34" s="20"/>
      <c r="L34" s="19">
        <f>L33/D33</f>
        <v>7.0403302843147211</v>
      </c>
      <c r="M34" s="2"/>
    </row>
    <row r="35" spans="1:13" ht="30" x14ac:dyDescent="0.25">
      <c r="A35" s="4" t="s">
        <v>18</v>
      </c>
      <c r="B35" s="5" t="s">
        <v>20</v>
      </c>
      <c r="C35" s="1"/>
      <c r="D35" s="20"/>
      <c r="E35" s="22">
        <f>MIN(E5,E7,E9,E11,E13,E15,E17,E19,E21,E23,E25,E27)</f>
        <v>6.5841407285919198</v>
      </c>
      <c r="F35" s="20"/>
      <c r="G35" s="20"/>
      <c r="H35" s="20"/>
      <c r="I35" s="22">
        <f>MIN(I5,I7,I9,I11,I13,I15,I17,I19,I21,I23,I25,I27)</f>
        <v>0.25959431350499995</v>
      </c>
      <c r="J35" s="22" t="s">
        <v>10</v>
      </c>
      <c r="K35" s="22"/>
      <c r="L35" s="21" t="s">
        <v>10</v>
      </c>
      <c r="M35" s="2"/>
    </row>
    <row r="36" spans="1:13" ht="30" x14ac:dyDescent="0.25">
      <c r="A36" s="4" t="s">
        <v>18</v>
      </c>
      <c r="B36" s="5" t="s">
        <v>21</v>
      </c>
      <c r="C36" s="1"/>
      <c r="D36" s="20"/>
      <c r="E36" s="22">
        <f>MAX(E5,E7,E9,E11,E13,E15,E17,E19,E21,E23,E25,E27)</f>
        <v>7.6117076155947503</v>
      </c>
      <c r="F36" s="20"/>
      <c r="G36" s="20"/>
      <c r="H36" s="20"/>
      <c r="I36" s="22">
        <f>MAX(I5,I7,I9,I11,I13,I15,I17,I19,I21,I23,I25,I27)</f>
        <v>0.30178527889524998</v>
      </c>
      <c r="J36" s="22" t="s">
        <v>10</v>
      </c>
      <c r="K36" s="22"/>
      <c r="L36" s="21" t="s">
        <v>10</v>
      </c>
      <c r="M36" s="2"/>
    </row>
    <row r="37" spans="1:13" x14ac:dyDescent="0.25">
      <c r="A37" s="23"/>
      <c r="M37" s="2"/>
    </row>
    <row r="38" spans="1:13" x14ac:dyDescent="0.25">
      <c r="A38" s="23"/>
      <c r="M38" s="2"/>
    </row>
    <row r="39" spans="1:13" x14ac:dyDescent="0.25">
      <c r="A39" s="23"/>
      <c r="M39" s="2"/>
    </row>
    <row r="40" spans="1:13" x14ac:dyDescent="0.25">
      <c r="M40" s="2"/>
    </row>
    <row r="41" spans="1:13" x14ac:dyDescent="0.25">
      <c r="M41" s="2"/>
    </row>
  </sheetData>
  <mergeCells count="6"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J7" sqref="J7"/>
    </sheetView>
  </sheetViews>
  <sheetFormatPr defaultRowHeight="15" x14ac:dyDescent="0.25"/>
  <cols>
    <col min="4" max="6" width="8.85546875" style="26"/>
    <col min="7" max="7" width="9.5703125" bestFit="1" customWidth="1"/>
    <col min="8" max="8" width="9.5703125" style="26" bestFit="1" customWidth="1"/>
    <col min="9" max="9" width="8.85546875" style="26"/>
    <col min="10" max="10" width="9.5703125" bestFit="1" customWidth="1"/>
  </cols>
  <sheetData>
    <row r="1" spans="1:10" x14ac:dyDescent="0.25">
      <c r="A1" t="str">
        <f>results!A1</f>
        <v>In US Short Tons for all weekends or for all weekdays in a month (1 kilogram = 0.00110231131 US Short Tons)</v>
      </c>
      <c r="D1"/>
      <c r="E1"/>
      <c r="F1"/>
      <c r="H1"/>
    </row>
    <row r="2" spans="1:10" ht="79.900000000000006" customHeight="1" x14ac:dyDescent="0.25">
      <c r="A2" s="27" t="s">
        <v>0</v>
      </c>
      <c r="B2" s="27" t="s">
        <v>1</v>
      </c>
      <c r="C2" s="27" t="s">
        <v>25</v>
      </c>
      <c r="D2" s="27" t="s">
        <v>26</v>
      </c>
      <c r="E2" s="27" t="s">
        <v>8</v>
      </c>
      <c r="F2" s="27" t="s">
        <v>24</v>
      </c>
      <c r="G2" s="27" t="s">
        <v>27</v>
      </c>
      <c r="H2" s="27" t="s">
        <v>28</v>
      </c>
    </row>
    <row r="3" spans="1:10" x14ac:dyDescent="0.25">
      <c r="A3" s="28">
        <f>results!A4</f>
        <v>2017</v>
      </c>
      <c r="B3" s="28">
        <f>results!B4</f>
        <v>1</v>
      </c>
      <c r="C3" s="28">
        <f>results!C4</f>
        <v>2</v>
      </c>
      <c r="D3" s="28">
        <f>results!D4</f>
        <v>9</v>
      </c>
      <c r="E3" s="29">
        <f>0.00110231131*SummaryReportBody!D2</f>
        <v>5.2249831671827494</v>
      </c>
      <c r="F3" s="29">
        <f>0.00110231131*SummaryReportBody!H2</f>
        <v>2.98840013306061</v>
      </c>
      <c r="G3" s="29">
        <f>0.00110231131*D3*SummaryReportBody!D2</f>
        <v>47.024848504644744</v>
      </c>
      <c r="H3" s="29">
        <f>0.00110231131*D3*SummaryReportBody!H2</f>
        <v>26.895601197545489</v>
      </c>
    </row>
    <row r="4" spans="1:10" x14ac:dyDescent="0.25">
      <c r="A4" s="28">
        <f>results!A5</f>
        <v>2017</v>
      </c>
      <c r="B4" s="28">
        <f>results!B5</f>
        <v>1</v>
      </c>
      <c r="C4" s="28">
        <f>results!C5</f>
        <v>5</v>
      </c>
      <c r="D4" s="28">
        <f>results!D5</f>
        <v>22</v>
      </c>
      <c r="E4" s="29">
        <f>0.00110231131*SummaryReportBody!D3</f>
        <v>6.9236008034403493</v>
      </c>
      <c r="F4" s="29">
        <f>0.00110231131*SummaryReportBody!H3</f>
        <v>3.6567204572005099</v>
      </c>
      <c r="G4" s="29">
        <f>0.00110231131*D4*SummaryReportBody!D3</f>
        <v>152.3192176756877</v>
      </c>
      <c r="H4" s="29">
        <f>0.00110231131*D4*SummaryReportBody!H3</f>
        <v>80.44785005841122</v>
      </c>
    </row>
    <row r="5" spans="1:10" x14ac:dyDescent="0.25">
      <c r="A5" s="28">
        <f>results!A6</f>
        <v>2017</v>
      </c>
      <c r="B5" s="28">
        <f>results!B6</f>
        <v>2</v>
      </c>
      <c r="C5" s="28">
        <f>results!C6</f>
        <v>2</v>
      </c>
      <c r="D5" s="28">
        <f>results!D6</f>
        <v>8</v>
      </c>
      <c r="E5" s="29">
        <f>0.00110231131*SummaryReportBody!D4</f>
        <v>4.9774977434181</v>
      </c>
      <c r="F5" s="29">
        <f>0.00110231131*SummaryReportBody!H4</f>
        <v>2.93639859701136</v>
      </c>
      <c r="G5" s="29">
        <f>0.00110231131*D5*SummaryReportBody!D4</f>
        <v>39.8199819473448</v>
      </c>
      <c r="H5" s="29">
        <f>0.00110231131*D5*SummaryReportBody!H4</f>
        <v>23.49118877609088</v>
      </c>
    </row>
    <row r="6" spans="1:10" x14ac:dyDescent="0.25">
      <c r="A6" s="28">
        <f>results!A7</f>
        <v>2017</v>
      </c>
      <c r="B6" s="28">
        <f>results!B7</f>
        <v>2</v>
      </c>
      <c r="C6" s="28">
        <f>results!C7</f>
        <v>5</v>
      </c>
      <c r="D6" s="28">
        <f>results!D7</f>
        <v>20</v>
      </c>
      <c r="E6" s="29">
        <f>0.00110231131*SummaryReportBody!D5</f>
        <v>6.8560974634385703</v>
      </c>
      <c r="F6" s="29">
        <f>0.00110231131*SummaryReportBody!H5</f>
        <v>3.6305152104278795</v>
      </c>
      <c r="G6" s="29">
        <f>0.00110231131*D6*SummaryReportBody!D5</f>
        <v>137.1219492687714</v>
      </c>
      <c r="H6" s="29">
        <f>0.00110231131*D6*SummaryReportBody!H5</f>
        <v>72.610304208557594</v>
      </c>
    </row>
    <row r="7" spans="1:10" x14ac:dyDescent="0.25">
      <c r="A7" s="28">
        <f>results!A8</f>
        <v>2017</v>
      </c>
      <c r="B7" s="28">
        <f>results!B8</f>
        <v>3</v>
      </c>
      <c r="C7" s="28">
        <f>results!C8</f>
        <v>2</v>
      </c>
      <c r="D7" s="28">
        <f>results!D8</f>
        <v>8</v>
      </c>
      <c r="E7" s="29">
        <f>0.00110231131*SummaryReportBody!D6</f>
        <v>5.8101164660021904</v>
      </c>
      <c r="F7" s="29">
        <f>0.00110231131*SummaryReportBody!H6</f>
        <v>3.11383434164813</v>
      </c>
      <c r="G7" s="29">
        <f>0.00110231131*D7*SummaryReportBody!D6</f>
        <v>46.480931728017524</v>
      </c>
      <c r="H7" s="29">
        <f>0.00110231131*D7*SummaryReportBody!H6</f>
        <v>24.91067473318504</v>
      </c>
      <c r="J7" s="63"/>
    </row>
    <row r="8" spans="1:10" x14ac:dyDescent="0.25">
      <c r="A8" s="28">
        <f>results!A9</f>
        <v>2017</v>
      </c>
      <c r="B8" s="28">
        <f>results!B9</f>
        <v>3</v>
      </c>
      <c r="C8" s="28">
        <f>results!C9</f>
        <v>5</v>
      </c>
      <c r="D8" s="28">
        <f>results!D9</f>
        <v>23</v>
      </c>
      <c r="E8" s="29">
        <f>0.00110231131*SummaryReportBody!D7</f>
        <v>7.4023996417406401</v>
      </c>
      <c r="F8" s="29">
        <f>0.00110231131*SummaryReportBody!H7</f>
        <v>3.7652584380283498</v>
      </c>
      <c r="G8" s="29">
        <f>0.00110231131*D8*SummaryReportBody!D7</f>
        <v>170.25519176003473</v>
      </c>
      <c r="H8" s="29">
        <f>0.00110231131*D8*SummaryReportBody!H7</f>
        <v>86.600944074652048</v>
      </c>
    </row>
    <row r="9" spans="1:10" x14ac:dyDescent="0.25">
      <c r="A9" s="28">
        <f>results!A10</f>
        <v>2017</v>
      </c>
      <c r="B9" s="28">
        <f>results!B10</f>
        <v>4</v>
      </c>
      <c r="C9" s="28">
        <f>results!C10</f>
        <v>2</v>
      </c>
      <c r="D9" s="28">
        <f>results!D10</f>
        <v>10</v>
      </c>
      <c r="E9" s="29">
        <f>0.00110231131*SummaryReportBody!D8</f>
        <v>5.7783754118307398</v>
      </c>
      <c r="F9" s="29">
        <f>0.00110231131*SummaryReportBody!H8</f>
        <v>3.30593303133052</v>
      </c>
      <c r="G9" s="29">
        <f>0.00110231131*D9*SummaryReportBody!D8</f>
        <v>57.783754118307392</v>
      </c>
      <c r="H9" s="29">
        <f>0.00110231131*D9*SummaryReportBody!H8</f>
        <v>33.059330313305196</v>
      </c>
    </row>
    <row r="10" spans="1:10" x14ac:dyDescent="0.25">
      <c r="A10" s="28">
        <f>results!A11</f>
        <v>2017</v>
      </c>
      <c r="B10" s="28">
        <f>results!B11</f>
        <v>4</v>
      </c>
      <c r="C10" s="28">
        <f>results!C11</f>
        <v>5</v>
      </c>
      <c r="D10" s="28">
        <f>results!D11</f>
        <v>20</v>
      </c>
      <c r="E10" s="29">
        <f>0.00110231131*SummaryReportBody!D9</f>
        <v>7.2002533844676</v>
      </c>
      <c r="F10" s="29">
        <f>0.00110231131*SummaryReportBody!H9</f>
        <v>3.9205630784942502</v>
      </c>
      <c r="G10" s="29">
        <f>0.00110231131*D10*SummaryReportBody!D9</f>
        <v>144.00506768935199</v>
      </c>
      <c r="H10" s="29">
        <f>0.00110231131*D10*SummaryReportBody!H9</f>
        <v>78.411261569884999</v>
      </c>
    </row>
    <row r="11" spans="1:10" x14ac:dyDescent="0.25">
      <c r="A11" s="28">
        <f>results!A12</f>
        <v>2017</v>
      </c>
      <c r="B11" s="28">
        <f>results!B12</f>
        <v>5</v>
      </c>
      <c r="C11" s="28">
        <f>results!C12</f>
        <v>2</v>
      </c>
      <c r="D11" s="28">
        <f>results!D12</f>
        <v>8</v>
      </c>
      <c r="E11" s="29">
        <f>0.00110231131*SummaryReportBody!D10</f>
        <v>5.6548812711488194</v>
      </c>
      <c r="F11" s="29">
        <f>0.00110231131*SummaryReportBody!H10</f>
        <v>3.4181869035843699</v>
      </c>
      <c r="G11" s="29">
        <f>0.00110231131*D11*SummaryReportBody!D10</f>
        <v>45.239050169190556</v>
      </c>
      <c r="H11" s="29">
        <f>0.00110231131*D11*SummaryReportBody!H10</f>
        <v>27.34549522867496</v>
      </c>
    </row>
    <row r="12" spans="1:10" x14ac:dyDescent="0.25">
      <c r="A12" s="28">
        <f>results!A13</f>
        <v>2017</v>
      </c>
      <c r="B12" s="28">
        <f>results!B13</f>
        <v>5</v>
      </c>
      <c r="C12" s="28">
        <f>results!C13</f>
        <v>5</v>
      </c>
      <c r="D12" s="28">
        <f>results!D13</f>
        <v>23</v>
      </c>
      <c r="E12" s="29">
        <f>0.00110231131*SummaryReportBody!D11</f>
        <v>7.1206279269897506</v>
      </c>
      <c r="F12" s="29">
        <f>0.00110231131*SummaryReportBody!H11</f>
        <v>4.0682353154497104</v>
      </c>
      <c r="G12" s="29">
        <f>0.00110231131*D12*SummaryReportBody!D11</f>
        <v>163.77444232076425</v>
      </c>
      <c r="H12" s="29">
        <f>0.00110231131*D12*SummaryReportBody!H11</f>
        <v>93.569412255343337</v>
      </c>
    </row>
    <row r="13" spans="1:10" x14ac:dyDescent="0.25">
      <c r="A13" s="28">
        <f>results!A14</f>
        <v>2017</v>
      </c>
      <c r="B13" s="28">
        <f>results!B14</f>
        <v>6</v>
      </c>
      <c r="C13" s="28">
        <f>results!C14</f>
        <v>2</v>
      </c>
      <c r="D13" s="28">
        <f>results!D14</f>
        <v>8</v>
      </c>
      <c r="E13" s="29">
        <f>0.00110231131*SummaryReportBody!D12</f>
        <v>5.4324414626586801</v>
      </c>
      <c r="F13" s="29">
        <f>0.00110231131*SummaryReportBody!H12</f>
        <v>3.5306502149871202</v>
      </c>
      <c r="G13" s="29">
        <f>0.00110231131*D13*SummaryReportBody!D12</f>
        <v>43.459531701269441</v>
      </c>
      <c r="H13" s="29">
        <f>0.00110231131*D13*SummaryReportBody!H12</f>
        <v>28.245201719896961</v>
      </c>
    </row>
    <row r="14" spans="1:10" x14ac:dyDescent="0.25">
      <c r="A14" s="28">
        <f>results!A15</f>
        <v>2017</v>
      </c>
      <c r="B14" s="28">
        <f>results!B15</f>
        <v>6</v>
      </c>
      <c r="C14" s="28">
        <f>results!C15</f>
        <v>5</v>
      </c>
      <c r="D14" s="28">
        <f>results!D15</f>
        <v>22</v>
      </c>
      <c r="E14" s="29">
        <f>0.00110231131*SummaryReportBody!D13</f>
        <v>6.7459523127207497</v>
      </c>
      <c r="F14" s="29">
        <f>0.00110231131*SummaryReportBody!H13</f>
        <v>4.1813787529307298</v>
      </c>
      <c r="G14" s="29">
        <f>0.00110231131*D14*SummaryReportBody!D13</f>
        <v>148.4109508798565</v>
      </c>
      <c r="H14" s="29">
        <f>0.00110231131*D14*SummaryReportBody!H13</f>
        <v>91.990332564476063</v>
      </c>
    </row>
    <row r="15" spans="1:10" x14ac:dyDescent="0.25">
      <c r="A15" s="28">
        <f>results!A16</f>
        <v>2017</v>
      </c>
      <c r="B15" s="28">
        <f>results!B16</f>
        <v>7</v>
      </c>
      <c r="C15" s="28">
        <f>results!C16</f>
        <v>2</v>
      </c>
      <c r="D15" s="28">
        <f>results!D16</f>
        <v>10</v>
      </c>
      <c r="E15" s="29">
        <f>0.00110231131*SummaryReportBody!D14</f>
        <v>5.3228816392464706</v>
      </c>
      <c r="F15" s="29">
        <f>0.00110231131*SummaryReportBody!H14</f>
        <v>3.7029469842966698</v>
      </c>
      <c r="G15" s="29">
        <f>0.00110231131*D15*SummaryReportBody!D14</f>
        <v>53.228816392464701</v>
      </c>
      <c r="H15" s="29">
        <f>0.00110231131*D15*SummaryReportBody!H14</f>
        <v>37.029469842966698</v>
      </c>
    </row>
    <row r="16" spans="1:10" x14ac:dyDescent="0.25">
      <c r="A16" s="28">
        <f>results!A17</f>
        <v>2017</v>
      </c>
      <c r="B16" s="28">
        <f>results!B17</f>
        <v>7</v>
      </c>
      <c r="C16" s="28">
        <f>results!C17</f>
        <v>5</v>
      </c>
      <c r="D16" s="28">
        <f>results!D17</f>
        <v>21</v>
      </c>
      <c r="E16" s="29">
        <f>0.00110231131*SummaryReportBody!D15</f>
        <v>6.6220139405809002</v>
      </c>
      <c r="F16" s="29">
        <f>0.00110231131*SummaryReportBody!H15</f>
        <v>4.3689105668557904</v>
      </c>
      <c r="G16" s="29">
        <f>0.00110231131*D16*SummaryReportBody!D15</f>
        <v>139.06229275219891</v>
      </c>
      <c r="H16" s="29">
        <f>0.00110231131*D16*SummaryReportBody!H15</f>
        <v>91.747121903971589</v>
      </c>
    </row>
    <row r="17" spans="1:8" x14ac:dyDescent="0.25">
      <c r="A17" s="28">
        <f>results!A18</f>
        <v>2017</v>
      </c>
      <c r="B17" s="28">
        <f>results!B18</f>
        <v>8</v>
      </c>
      <c r="C17" s="28">
        <f>results!C18</f>
        <v>2</v>
      </c>
      <c r="D17" s="28">
        <f>results!D18</f>
        <v>8</v>
      </c>
      <c r="E17" s="29">
        <f>0.00110231131*SummaryReportBody!D16</f>
        <v>5.2135378688510201</v>
      </c>
      <c r="F17" s="29">
        <f>0.00110231131*SummaryReportBody!H16</f>
        <v>3.5894166355458399</v>
      </c>
      <c r="G17" s="29">
        <f>0.00110231131*D17*SummaryReportBody!D16</f>
        <v>41.708302950808161</v>
      </c>
      <c r="H17" s="29">
        <f>0.00110231131*D17*SummaryReportBody!H16</f>
        <v>28.715333084366719</v>
      </c>
    </row>
    <row r="18" spans="1:8" x14ac:dyDescent="0.25">
      <c r="A18" s="28">
        <f>results!A19</f>
        <v>2017</v>
      </c>
      <c r="B18" s="28">
        <f>results!B19</f>
        <v>8</v>
      </c>
      <c r="C18" s="28">
        <f>results!C19</f>
        <v>5</v>
      </c>
      <c r="D18" s="28">
        <f>results!D19</f>
        <v>23</v>
      </c>
      <c r="E18" s="29">
        <f>0.00110231131*SummaryReportBody!D17</f>
        <v>6.5841407285919198</v>
      </c>
      <c r="F18" s="29">
        <f>0.00110231131*SummaryReportBody!H17</f>
        <v>4.2655710861659104</v>
      </c>
      <c r="G18" s="29">
        <f>0.00110231131*D18*SummaryReportBody!D17</f>
        <v>151.43523675761418</v>
      </c>
      <c r="H18" s="29">
        <f>0.00110231131*D18*SummaryReportBody!H17</f>
        <v>98.108134981815937</v>
      </c>
    </row>
    <row r="19" spans="1:8" x14ac:dyDescent="0.25">
      <c r="A19" s="28">
        <f>results!A20</f>
        <v>2017</v>
      </c>
      <c r="B19" s="28">
        <f>results!B20</f>
        <v>9</v>
      </c>
      <c r="C19" s="28">
        <f>results!C20</f>
        <v>2</v>
      </c>
      <c r="D19" s="28">
        <f>results!D20</f>
        <v>9</v>
      </c>
      <c r="E19" s="29">
        <f>0.00110231131*SummaryReportBody!D18</f>
        <v>5.2993583158910704</v>
      </c>
      <c r="F19" s="29">
        <f>0.00110231131*SummaryReportBody!H18</f>
        <v>3.43596938963729</v>
      </c>
      <c r="G19" s="29">
        <f>0.00110231131*D19*SummaryReportBody!D18</f>
        <v>47.694224843019633</v>
      </c>
      <c r="H19" s="29">
        <f>0.00110231131*D19*SummaryReportBody!H18</f>
        <v>30.92372450673561</v>
      </c>
    </row>
    <row r="20" spans="1:8" x14ac:dyDescent="0.25">
      <c r="A20" s="28">
        <f>results!A21</f>
        <v>2017</v>
      </c>
      <c r="B20" s="28">
        <f>results!B21</f>
        <v>9</v>
      </c>
      <c r="C20" s="28">
        <f>results!C21</f>
        <v>5</v>
      </c>
      <c r="D20" s="28">
        <f>results!D21</f>
        <v>21</v>
      </c>
      <c r="E20" s="29">
        <f>0.00110231131*SummaryReportBody!D19</f>
        <v>6.8943366427824699</v>
      </c>
      <c r="F20" s="29">
        <f>0.00110231131*SummaryReportBody!H19</f>
        <v>4.1274305351080196</v>
      </c>
      <c r="G20" s="29">
        <f>0.00110231131*D20*SummaryReportBody!D19</f>
        <v>144.78106949843186</v>
      </c>
      <c r="H20" s="29">
        <f>0.00110231131*D20*SummaryReportBody!H19</f>
        <v>86.676041237268421</v>
      </c>
    </row>
    <row r="21" spans="1:8" x14ac:dyDescent="0.25">
      <c r="A21" s="28">
        <f>results!A22</f>
        <v>2017</v>
      </c>
      <c r="B21" s="28">
        <f>results!B22</f>
        <v>10</v>
      </c>
      <c r="C21" s="28">
        <f>results!C22</f>
        <v>2</v>
      </c>
      <c r="D21" s="28">
        <f>results!D22</f>
        <v>9</v>
      </c>
      <c r="E21" s="29">
        <f>0.00110231131*SummaryReportBody!D20</f>
        <v>5.7373407710046802</v>
      </c>
      <c r="F21" s="29">
        <f>0.00110231131*SummaryReportBody!H20</f>
        <v>3.20598866947544</v>
      </c>
      <c r="G21" s="29">
        <f>0.00110231131*D21*SummaryReportBody!D20</f>
        <v>51.636066939042124</v>
      </c>
      <c r="H21" s="29">
        <f>0.00110231131*D21*SummaryReportBody!H20</f>
        <v>28.853898025278959</v>
      </c>
    </row>
    <row r="22" spans="1:8" x14ac:dyDescent="0.25">
      <c r="A22" s="28">
        <f>results!A23</f>
        <v>2017</v>
      </c>
      <c r="B22" s="28">
        <f>results!B23</f>
        <v>10</v>
      </c>
      <c r="C22" s="28">
        <f>results!C23</f>
        <v>5</v>
      </c>
      <c r="D22" s="28">
        <f>results!D23</f>
        <v>22</v>
      </c>
      <c r="E22" s="29">
        <f>0.00110231131*SummaryReportBody!D21</f>
        <v>7.2445850384218691</v>
      </c>
      <c r="F22" s="29">
        <f>0.00110231131*SummaryReportBody!H21</f>
        <v>3.85164326845912</v>
      </c>
      <c r="G22" s="29">
        <f>0.00110231131*D22*SummaryReportBody!D21</f>
        <v>159.38087084528112</v>
      </c>
      <c r="H22" s="29">
        <f>0.00110231131*D22*SummaryReportBody!H21</f>
        <v>84.736151906100645</v>
      </c>
    </row>
    <row r="23" spans="1:8" x14ac:dyDescent="0.25">
      <c r="A23" s="28">
        <f>results!A24</f>
        <v>2017</v>
      </c>
      <c r="B23" s="28">
        <f>results!B24</f>
        <v>11</v>
      </c>
      <c r="C23" s="28">
        <f>results!C24</f>
        <v>2</v>
      </c>
      <c r="D23" s="28">
        <f>results!D24</f>
        <v>8</v>
      </c>
      <c r="E23" s="29">
        <f>0.00110231131*SummaryReportBody!D22</f>
        <v>5.6293649689449401</v>
      </c>
      <c r="F23" s="29">
        <f>0.00110231131*SummaryReportBody!H22</f>
        <v>3.1025676177486199</v>
      </c>
      <c r="G23" s="29">
        <f>0.00110231131*D23*SummaryReportBody!D22</f>
        <v>45.034919751559521</v>
      </c>
      <c r="H23" s="29">
        <f>0.00110231131*D23*SummaryReportBody!H22</f>
        <v>24.820540941988959</v>
      </c>
    </row>
    <row r="24" spans="1:8" x14ac:dyDescent="0.25">
      <c r="A24" s="28">
        <f>results!A25</f>
        <v>2017</v>
      </c>
      <c r="B24" s="28">
        <f>results!B25</f>
        <v>11</v>
      </c>
      <c r="C24" s="28">
        <f>results!C25</f>
        <v>5</v>
      </c>
      <c r="D24" s="28">
        <f>results!D25</f>
        <v>22</v>
      </c>
      <c r="E24" s="29">
        <f>0.00110231131*SummaryReportBody!D23</f>
        <v>7.2769874793793203</v>
      </c>
      <c r="F24" s="29">
        <f>0.00110231131*SummaryReportBody!H23</f>
        <v>3.7787771839341899</v>
      </c>
      <c r="G24" s="29">
        <f>0.00110231131*D24*SummaryReportBody!D23</f>
        <v>160.09372454634504</v>
      </c>
      <c r="H24" s="29">
        <f>0.00110231131*D24*SummaryReportBody!H23</f>
        <v>83.133098046552178</v>
      </c>
    </row>
    <row r="25" spans="1:8" x14ac:dyDescent="0.25">
      <c r="A25" s="28">
        <f>results!A26</f>
        <v>2017</v>
      </c>
      <c r="B25" s="28">
        <f>results!B26</f>
        <v>12</v>
      </c>
      <c r="C25" s="28">
        <f>results!C26</f>
        <v>2</v>
      </c>
      <c r="D25" s="28">
        <f>results!D26</f>
        <v>10</v>
      </c>
      <c r="E25" s="29">
        <f>0.00110231131*SummaryReportBody!D24</f>
        <v>5.7512155634636501</v>
      </c>
      <c r="F25" s="29">
        <f>0.00110231131*SummaryReportBody!H24</f>
        <v>3.1382780949473799</v>
      </c>
      <c r="G25" s="29">
        <f>0.00110231131*D25*SummaryReportBody!D24</f>
        <v>57.512155634636493</v>
      </c>
      <c r="H25" s="29">
        <f>0.00110231131*D25*SummaryReportBody!H24</f>
        <v>31.382780949473798</v>
      </c>
    </row>
    <row r="26" spans="1:8" x14ac:dyDescent="0.25">
      <c r="A26" s="28">
        <f>results!A27</f>
        <v>2017</v>
      </c>
      <c r="B26" s="28">
        <f>results!B27</f>
        <v>12</v>
      </c>
      <c r="C26" s="28">
        <f>results!C27</f>
        <v>5</v>
      </c>
      <c r="D26" s="28">
        <f>results!D27</f>
        <v>21</v>
      </c>
      <c r="E26" s="29">
        <f>0.00110231131*SummaryReportBody!D25</f>
        <v>7.6117076155947503</v>
      </c>
      <c r="F26" s="29">
        <f>0.00110231131*SummaryReportBody!H25</f>
        <v>3.8433351481156497</v>
      </c>
      <c r="G26" s="29">
        <f>0.00110231131*D26*SummaryReportBody!D25</f>
        <v>159.84585992748976</v>
      </c>
      <c r="H26" s="29">
        <f>0.00110231131*D26*SummaryReportBody!H25</f>
        <v>80.710038110428641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>
      <selection activeCell="I5" sqref="I5"/>
    </sheetView>
  </sheetViews>
  <sheetFormatPr defaultColWidth="8.85546875" defaultRowHeight="15" x14ac:dyDescent="0.25"/>
  <cols>
    <col min="1" max="1" width="5.7109375" style="26" customWidth="1"/>
    <col min="2" max="2" width="4.140625" style="26" customWidth="1"/>
    <col min="3" max="3" width="5.140625" style="26" customWidth="1"/>
    <col min="4" max="4" width="5.42578125" style="64" customWidth="1"/>
    <col min="5" max="5" width="9" style="26" bestFit="1" customWidth="1"/>
    <col min="6" max="6" width="8.85546875" style="26"/>
    <col min="7" max="7" width="9" style="26" bestFit="1" customWidth="1"/>
    <col min="8" max="8" width="10.28515625" style="26" customWidth="1"/>
    <col min="9" max="14" width="8.85546875" style="26"/>
    <col min="15" max="15" width="8.85546875" style="32"/>
    <col min="16" max="19" width="8.85546875" style="26"/>
    <col min="20" max="20" width="8.85546875" style="32"/>
    <col min="21" max="21" width="8.85546875" style="26"/>
    <col min="22" max="22" width="8.85546875" style="33"/>
    <col min="23" max="23" width="8.85546875" style="32"/>
    <col min="24" max="16384" width="8.85546875" style="26"/>
  </cols>
  <sheetData>
    <row r="1" spans="1:25" x14ac:dyDescent="0.25">
      <c r="A1" s="1" t="s">
        <v>58</v>
      </c>
      <c r="B1" s="24"/>
      <c r="C1" s="1"/>
      <c r="D1" s="38"/>
      <c r="E1" s="1"/>
      <c r="F1" s="1"/>
      <c r="I1" s="1"/>
      <c r="T1" s="32">
        <v>2034</v>
      </c>
      <c r="W1" s="32">
        <v>2045</v>
      </c>
    </row>
    <row r="2" spans="1:25" ht="66.599999999999994" customHeight="1" x14ac:dyDescent="0.25">
      <c r="A2" s="66" t="s">
        <v>0</v>
      </c>
      <c r="B2" s="66" t="s">
        <v>1</v>
      </c>
      <c r="C2" s="66" t="s">
        <v>25</v>
      </c>
      <c r="D2" s="68" t="s">
        <v>59</v>
      </c>
      <c r="E2" s="46" t="s">
        <v>71</v>
      </c>
      <c r="F2" s="46" t="s">
        <v>3</v>
      </c>
      <c r="G2" s="46" t="s">
        <v>64</v>
      </c>
      <c r="H2" s="46" t="s">
        <v>65</v>
      </c>
      <c r="I2" s="47"/>
      <c r="J2" s="26">
        <v>2008</v>
      </c>
      <c r="K2" s="26">
        <v>2010</v>
      </c>
      <c r="L2" s="26">
        <v>2012</v>
      </c>
      <c r="M2" s="26">
        <v>2014</v>
      </c>
      <c r="N2" s="26">
        <v>2015</v>
      </c>
      <c r="O2" s="32">
        <v>2017</v>
      </c>
      <c r="P2" s="26">
        <v>2018</v>
      </c>
      <c r="Q2" s="26">
        <v>2021</v>
      </c>
      <c r="R2" s="26">
        <v>2024</v>
      </c>
      <c r="S2" s="26">
        <v>2030</v>
      </c>
      <c r="T2" s="32">
        <v>2034</v>
      </c>
      <c r="U2" s="26">
        <v>2035</v>
      </c>
      <c r="V2" s="33">
        <v>2040</v>
      </c>
      <c r="W2" s="32">
        <v>2045</v>
      </c>
      <c r="X2" s="26" t="s">
        <v>23</v>
      </c>
      <c r="Y2" s="26" t="s">
        <v>22</v>
      </c>
    </row>
    <row r="3" spans="1:25" ht="55.9" customHeight="1" x14ac:dyDescent="0.25">
      <c r="A3" s="67"/>
      <c r="B3" s="67"/>
      <c r="C3" s="67"/>
      <c r="D3" s="67"/>
      <c r="E3" s="69" t="s">
        <v>72</v>
      </c>
      <c r="F3" s="70"/>
      <c r="G3" s="65" t="s">
        <v>68</v>
      </c>
      <c r="H3" s="65"/>
      <c r="I3" s="47"/>
    </row>
    <row r="4" spans="1:25" x14ac:dyDescent="0.25">
      <c r="A4" s="41">
        <f>SummaryReportBody!$J$2</f>
        <v>2017</v>
      </c>
      <c r="B4" s="42">
        <v>1</v>
      </c>
      <c r="C4" s="41">
        <v>2</v>
      </c>
      <c r="D4" s="48">
        <f t="shared" ref="D4:D27" si="0">Y4</f>
        <v>9</v>
      </c>
      <c r="E4" s="49">
        <f>G4/D4</f>
        <v>0.17220086822557998</v>
      </c>
      <c r="F4" s="49">
        <f>H4/D4</f>
        <v>5.2249831671827494</v>
      </c>
      <c r="G4" s="37">
        <f>results!K4</f>
        <v>1.5498078140302198</v>
      </c>
      <c r="H4" s="37">
        <f>results!L4</f>
        <v>47.024848504644744</v>
      </c>
      <c r="I4" s="50"/>
      <c r="J4" s="3">
        <v>8</v>
      </c>
      <c r="K4" s="3">
        <v>10</v>
      </c>
      <c r="L4" s="26">
        <v>9</v>
      </c>
      <c r="M4" s="26">
        <v>8</v>
      </c>
      <c r="N4" s="26">
        <v>9</v>
      </c>
      <c r="O4" s="32">
        <v>9</v>
      </c>
      <c r="P4" s="26">
        <v>8</v>
      </c>
      <c r="Q4" s="26">
        <v>10</v>
      </c>
      <c r="R4" s="26">
        <v>8</v>
      </c>
      <c r="S4" s="26">
        <v>8</v>
      </c>
      <c r="T4" s="32">
        <v>9</v>
      </c>
      <c r="U4" s="1">
        <v>8</v>
      </c>
      <c r="V4" s="33">
        <v>9</v>
      </c>
      <c r="W4" s="32">
        <v>9</v>
      </c>
      <c r="X4" s="26">
        <f t="shared" ref="X4:X27" si="1">IF(A4=2008,J4,IF(A4=2012,L4,IF(A4=2015,N4,IF(A4=2017,O4,IF(A4=2018,P4,IF(A4=2010,K4,IF(A4=2014,M4,IF(A4=2040,V4,30))))))))</f>
        <v>9</v>
      </c>
      <c r="Y4" s="26">
        <f t="shared" ref="Y4:Y27" si="2">IF(X4&lt;30,X4,IF(A4=2021,Q4,IF(A4=2024,R4,IF(A4=2030,S4,IF(A4=2034,T4,IF(A4=2035,U4,IF(A4=2045,W4,"wrong")))))))</f>
        <v>9</v>
      </c>
    </row>
    <row r="5" spans="1:25" x14ac:dyDescent="0.25">
      <c r="A5" s="41">
        <f>A4</f>
        <v>2017</v>
      </c>
      <c r="B5" s="42">
        <v>1</v>
      </c>
      <c r="C5" s="41">
        <v>5</v>
      </c>
      <c r="D5" s="48">
        <f t="shared" si="0"/>
        <v>22</v>
      </c>
      <c r="E5" s="49">
        <f t="shared" ref="E5:E27" si="3">G5/D5</f>
        <v>0.26500776434841</v>
      </c>
      <c r="F5" s="49">
        <f t="shared" ref="F5:F27" si="4">H5/D5</f>
        <v>6.9236008034403502</v>
      </c>
      <c r="G5" s="37">
        <f>results!K5</f>
        <v>5.8301708156650198</v>
      </c>
      <c r="H5" s="37">
        <f>results!L5</f>
        <v>152.3192176756877</v>
      </c>
      <c r="I5" s="50"/>
      <c r="J5" s="3">
        <v>23</v>
      </c>
      <c r="K5" s="3">
        <v>21</v>
      </c>
      <c r="L5" s="26">
        <v>22</v>
      </c>
      <c r="M5" s="26">
        <v>23</v>
      </c>
      <c r="N5" s="26">
        <v>22</v>
      </c>
      <c r="O5" s="32">
        <v>22</v>
      </c>
      <c r="P5" s="26">
        <v>23</v>
      </c>
      <c r="Q5" s="26">
        <v>21</v>
      </c>
      <c r="R5" s="26">
        <v>23</v>
      </c>
      <c r="S5" s="26">
        <v>23</v>
      </c>
      <c r="T5" s="32">
        <v>22</v>
      </c>
      <c r="U5" s="1">
        <v>23</v>
      </c>
      <c r="V5" s="33">
        <v>22</v>
      </c>
      <c r="W5" s="32">
        <v>22</v>
      </c>
      <c r="X5" s="26">
        <f t="shared" si="1"/>
        <v>22</v>
      </c>
      <c r="Y5" s="26">
        <f t="shared" si="2"/>
        <v>22</v>
      </c>
    </row>
    <row r="6" spans="1:25" x14ac:dyDescent="0.25">
      <c r="A6" s="41">
        <f t="shared" ref="A6:A27" si="5">A5</f>
        <v>2017</v>
      </c>
      <c r="B6" s="42">
        <v>2</v>
      </c>
      <c r="C6" s="41">
        <v>2</v>
      </c>
      <c r="D6" s="48">
        <f t="shared" si="0"/>
        <v>8</v>
      </c>
      <c r="E6" s="49">
        <f t="shared" si="3"/>
        <v>0.16181599337406999</v>
      </c>
      <c r="F6" s="49">
        <f t="shared" si="4"/>
        <v>4.9774977434181</v>
      </c>
      <c r="G6" s="37">
        <f>results!K6</f>
        <v>1.2945279469925599</v>
      </c>
      <c r="H6" s="37">
        <f>results!L6</f>
        <v>39.8199819473448</v>
      </c>
      <c r="I6" s="50"/>
      <c r="J6" s="3">
        <v>8</v>
      </c>
      <c r="K6" s="3">
        <v>8</v>
      </c>
      <c r="L6" s="26">
        <v>8</v>
      </c>
      <c r="M6" s="26">
        <v>8</v>
      </c>
      <c r="N6" s="26">
        <v>8</v>
      </c>
      <c r="O6" s="32">
        <v>8</v>
      </c>
      <c r="P6" s="26">
        <v>8</v>
      </c>
      <c r="Q6" s="26">
        <v>8</v>
      </c>
      <c r="R6" s="26">
        <v>8</v>
      </c>
      <c r="S6" s="26">
        <v>8</v>
      </c>
      <c r="T6" s="32">
        <v>8</v>
      </c>
      <c r="U6" s="1">
        <v>8</v>
      </c>
      <c r="V6" s="33">
        <v>8</v>
      </c>
      <c r="W6" s="32">
        <v>8</v>
      </c>
      <c r="X6" s="26">
        <f t="shared" si="1"/>
        <v>8</v>
      </c>
      <c r="Y6" s="26">
        <f t="shared" si="2"/>
        <v>8</v>
      </c>
    </row>
    <row r="7" spans="1:25" x14ac:dyDescent="0.25">
      <c r="A7" s="41">
        <f t="shared" si="5"/>
        <v>2017</v>
      </c>
      <c r="B7" s="42">
        <v>2</v>
      </c>
      <c r="C7" s="41">
        <v>5</v>
      </c>
      <c r="D7" s="48">
        <f t="shared" si="0"/>
        <v>20</v>
      </c>
      <c r="E7" s="49">
        <f t="shared" si="3"/>
        <v>0.25959431350499995</v>
      </c>
      <c r="F7" s="49">
        <f t="shared" si="4"/>
        <v>6.8560974634385703</v>
      </c>
      <c r="G7" s="37">
        <f>results!K7</f>
        <v>5.1918862700999995</v>
      </c>
      <c r="H7" s="37">
        <f>results!L7</f>
        <v>137.1219492687714</v>
      </c>
      <c r="I7" s="50"/>
      <c r="J7" s="3">
        <v>21</v>
      </c>
      <c r="K7" s="3">
        <v>20</v>
      </c>
      <c r="L7" s="26">
        <v>21</v>
      </c>
      <c r="M7" s="26">
        <v>20</v>
      </c>
      <c r="N7" s="26">
        <v>20</v>
      </c>
      <c r="O7" s="32">
        <v>20</v>
      </c>
      <c r="P7" s="26">
        <v>20</v>
      </c>
      <c r="Q7" s="26">
        <v>20</v>
      </c>
      <c r="R7" s="26">
        <v>21</v>
      </c>
      <c r="S7" s="26">
        <v>20</v>
      </c>
      <c r="T7" s="32">
        <v>20</v>
      </c>
      <c r="U7" s="1">
        <v>20</v>
      </c>
      <c r="V7" s="33">
        <v>21</v>
      </c>
      <c r="W7" s="32">
        <v>20</v>
      </c>
      <c r="X7" s="26">
        <f t="shared" si="1"/>
        <v>20</v>
      </c>
      <c r="Y7" s="26">
        <f t="shared" si="2"/>
        <v>20</v>
      </c>
    </row>
    <row r="8" spans="1:25" x14ac:dyDescent="0.25">
      <c r="A8" s="41">
        <f t="shared" si="5"/>
        <v>2017</v>
      </c>
      <c r="B8" s="42">
        <v>3</v>
      </c>
      <c r="C8" s="41">
        <v>2</v>
      </c>
      <c r="D8" s="48">
        <f t="shared" si="0"/>
        <v>8</v>
      </c>
      <c r="E8" s="49">
        <f t="shared" si="3"/>
        <v>0.18877632339405001</v>
      </c>
      <c r="F8" s="49">
        <f t="shared" si="4"/>
        <v>5.8101164660021904</v>
      </c>
      <c r="G8" s="37">
        <f>results!K8</f>
        <v>1.5102105871524001</v>
      </c>
      <c r="H8" s="37">
        <f>results!L8</f>
        <v>46.480931728017524</v>
      </c>
      <c r="I8" s="50"/>
      <c r="J8" s="3">
        <v>10</v>
      </c>
      <c r="K8" s="3">
        <v>8</v>
      </c>
      <c r="L8" s="26">
        <v>9</v>
      </c>
      <c r="M8" s="26">
        <v>10</v>
      </c>
      <c r="N8" s="26">
        <v>9</v>
      </c>
      <c r="O8" s="32">
        <v>8</v>
      </c>
      <c r="P8" s="26">
        <v>9</v>
      </c>
      <c r="Q8" s="26">
        <v>8</v>
      </c>
      <c r="R8" s="26">
        <v>10</v>
      </c>
      <c r="S8" s="26">
        <v>10</v>
      </c>
      <c r="T8" s="32">
        <v>8</v>
      </c>
      <c r="U8" s="1">
        <v>9</v>
      </c>
      <c r="V8" s="33">
        <v>9</v>
      </c>
      <c r="W8" s="32">
        <v>8</v>
      </c>
      <c r="X8" s="26">
        <f t="shared" si="1"/>
        <v>8</v>
      </c>
      <c r="Y8" s="26">
        <f t="shared" si="2"/>
        <v>8</v>
      </c>
    </row>
    <row r="9" spans="1:25" x14ac:dyDescent="0.25">
      <c r="A9" s="41">
        <f t="shared" si="5"/>
        <v>2017</v>
      </c>
      <c r="B9" s="42">
        <v>3</v>
      </c>
      <c r="C9" s="41">
        <v>5</v>
      </c>
      <c r="D9" s="48">
        <f t="shared" si="0"/>
        <v>23</v>
      </c>
      <c r="E9" s="49">
        <f t="shared" si="3"/>
        <v>0.27922978487003003</v>
      </c>
      <c r="F9" s="49">
        <f t="shared" si="4"/>
        <v>7.402399641740641</v>
      </c>
      <c r="G9" s="37">
        <f>results!K9</f>
        <v>6.4222850520106904</v>
      </c>
      <c r="H9" s="37">
        <f>results!L9</f>
        <v>170.25519176003473</v>
      </c>
      <c r="I9" s="50"/>
      <c r="J9" s="3">
        <v>21</v>
      </c>
      <c r="K9" s="3">
        <v>23</v>
      </c>
      <c r="L9" s="26">
        <v>22</v>
      </c>
      <c r="M9" s="26">
        <v>21</v>
      </c>
      <c r="N9" s="26">
        <v>22</v>
      </c>
      <c r="O9" s="32">
        <v>23</v>
      </c>
      <c r="P9" s="26">
        <v>22</v>
      </c>
      <c r="Q9" s="26">
        <v>23</v>
      </c>
      <c r="R9" s="26">
        <v>21</v>
      </c>
      <c r="S9" s="26">
        <v>21</v>
      </c>
      <c r="T9" s="32">
        <v>23</v>
      </c>
      <c r="U9" s="1">
        <v>22</v>
      </c>
      <c r="V9" s="33">
        <v>22</v>
      </c>
      <c r="W9" s="32">
        <v>23</v>
      </c>
      <c r="X9" s="26">
        <f t="shared" si="1"/>
        <v>23</v>
      </c>
      <c r="Y9" s="26">
        <f t="shared" si="2"/>
        <v>23</v>
      </c>
    </row>
    <row r="10" spans="1:25" x14ac:dyDescent="0.25">
      <c r="A10" s="41">
        <f t="shared" si="5"/>
        <v>2017</v>
      </c>
      <c r="B10" s="42">
        <v>4</v>
      </c>
      <c r="C10" s="41">
        <v>2</v>
      </c>
      <c r="D10" s="48">
        <f t="shared" si="0"/>
        <v>10</v>
      </c>
      <c r="E10" s="49">
        <f t="shared" si="3"/>
        <v>0.19209317812584001</v>
      </c>
      <c r="F10" s="49">
        <f t="shared" si="4"/>
        <v>5.7783754118307398</v>
      </c>
      <c r="G10" s="37">
        <f>results!K10</f>
        <v>1.9209317812584001</v>
      </c>
      <c r="H10" s="37">
        <f>results!L10</f>
        <v>57.783754118307399</v>
      </c>
      <c r="I10" s="50"/>
      <c r="J10" s="3">
        <v>8</v>
      </c>
      <c r="K10" s="3">
        <v>8</v>
      </c>
      <c r="L10" s="26">
        <v>9</v>
      </c>
      <c r="M10" s="26">
        <v>8</v>
      </c>
      <c r="N10" s="26">
        <v>8</v>
      </c>
      <c r="O10" s="32">
        <v>10</v>
      </c>
      <c r="P10" s="26">
        <v>9</v>
      </c>
      <c r="Q10" s="26">
        <v>8</v>
      </c>
      <c r="R10" s="26">
        <v>8</v>
      </c>
      <c r="S10" s="26">
        <v>8</v>
      </c>
      <c r="T10" s="32">
        <v>10</v>
      </c>
      <c r="U10" s="1">
        <v>9</v>
      </c>
      <c r="V10" s="33">
        <v>9</v>
      </c>
      <c r="W10" s="32">
        <v>10</v>
      </c>
      <c r="X10" s="26">
        <f t="shared" si="1"/>
        <v>10</v>
      </c>
      <c r="Y10" s="26">
        <f t="shared" si="2"/>
        <v>10</v>
      </c>
    </row>
    <row r="11" spans="1:25" x14ac:dyDescent="0.25">
      <c r="A11" s="41">
        <f t="shared" si="5"/>
        <v>2017</v>
      </c>
      <c r="B11" s="42">
        <v>4</v>
      </c>
      <c r="C11" s="41">
        <v>5</v>
      </c>
      <c r="D11" s="48">
        <f t="shared" si="0"/>
        <v>20</v>
      </c>
      <c r="E11" s="49">
        <f t="shared" si="3"/>
        <v>0.27660077239567998</v>
      </c>
      <c r="F11" s="49">
        <f t="shared" si="4"/>
        <v>7.2002533844675991</v>
      </c>
      <c r="G11" s="37">
        <f>results!K11</f>
        <v>5.5320154479135999</v>
      </c>
      <c r="H11" s="37">
        <f>results!L11</f>
        <v>144.00506768935199</v>
      </c>
      <c r="I11" s="50"/>
      <c r="J11" s="3">
        <v>22</v>
      </c>
      <c r="K11" s="3">
        <v>22</v>
      </c>
      <c r="L11" s="26">
        <v>21</v>
      </c>
      <c r="M11" s="26">
        <v>22</v>
      </c>
      <c r="N11" s="26">
        <v>22</v>
      </c>
      <c r="O11" s="32">
        <v>20</v>
      </c>
      <c r="P11" s="26">
        <v>21</v>
      </c>
      <c r="Q11" s="26">
        <v>22</v>
      </c>
      <c r="R11" s="26">
        <v>22</v>
      </c>
      <c r="S11" s="26">
        <v>22</v>
      </c>
      <c r="T11" s="32">
        <v>20</v>
      </c>
      <c r="U11" s="1">
        <v>21</v>
      </c>
      <c r="V11" s="33">
        <v>21</v>
      </c>
      <c r="W11" s="32">
        <v>20</v>
      </c>
      <c r="X11" s="26">
        <f t="shared" si="1"/>
        <v>20</v>
      </c>
      <c r="Y11" s="26">
        <f t="shared" si="2"/>
        <v>20</v>
      </c>
    </row>
    <row r="12" spans="1:25" x14ac:dyDescent="0.25">
      <c r="A12" s="41">
        <f t="shared" si="5"/>
        <v>2017</v>
      </c>
      <c r="B12" s="42">
        <v>5</v>
      </c>
      <c r="C12" s="41">
        <v>2</v>
      </c>
      <c r="D12" s="48">
        <f t="shared" si="0"/>
        <v>8</v>
      </c>
      <c r="E12" s="49">
        <f t="shared" si="3"/>
        <v>0.19776236519316995</v>
      </c>
      <c r="F12" s="49">
        <f t="shared" si="4"/>
        <v>5.6548812711488194</v>
      </c>
      <c r="G12" s="37">
        <f>results!K12</f>
        <v>1.5820989215453596</v>
      </c>
      <c r="H12" s="37">
        <f>results!L12</f>
        <v>45.239050169190556</v>
      </c>
      <c r="I12" s="50"/>
      <c r="J12" s="3">
        <v>9</v>
      </c>
      <c r="K12" s="3">
        <v>10</v>
      </c>
      <c r="L12" s="26">
        <v>9</v>
      </c>
      <c r="M12" s="26">
        <v>9</v>
      </c>
      <c r="N12" s="26">
        <v>10</v>
      </c>
      <c r="O12" s="32">
        <v>8</v>
      </c>
      <c r="P12" s="26">
        <v>8</v>
      </c>
      <c r="Q12" s="26">
        <v>10</v>
      </c>
      <c r="R12" s="26">
        <v>8</v>
      </c>
      <c r="S12" s="26">
        <v>8</v>
      </c>
      <c r="T12" s="32">
        <v>8</v>
      </c>
      <c r="U12" s="1">
        <v>8</v>
      </c>
      <c r="V12" s="33">
        <v>8</v>
      </c>
      <c r="W12" s="32">
        <v>8</v>
      </c>
      <c r="X12" s="26">
        <f t="shared" si="1"/>
        <v>8</v>
      </c>
      <c r="Y12" s="26">
        <f t="shared" si="2"/>
        <v>8</v>
      </c>
    </row>
    <row r="13" spans="1:25" x14ac:dyDescent="0.25">
      <c r="A13" s="41">
        <f t="shared" si="5"/>
        <v>2017</v>
      </c>
      <c r="B13" s="42">
        <v>5</v>
      </c>
      <c r="C13" s="41">
        <v>5</v>
      </c>
      <c r="D13" s="48">
        <f t="shared" si="0"/>
        <v>23</v>
      </c>
      <c r="E13" s="49">
        <f t="shared" si="3"/>
        <v>0.28701320502993999</v>
      </c>
      <c r="F13" s="49">
        <f t="shared" si="4"/>
        <v>7.1206279269897497</v>
      </c>
      <c r="G13" s="37">
        <f>results!K13</f>
        <v>6.6013037156886201</v>
      </c>
      <c r="H13" s="37">
        <f>results!L13</f>
        <v>163.77444232076425</v>
      </c>
      <c r="I13" s="50"/>
      <c r="J13" s="3">
        <v>22</v>
      </c>
      <c r="K13" s="3">
        <v>21</v>
      </c>
      <c r="L13" s="26">
        <v>22</v>
      </c>
      <c r="M13" s="26">
        <v>22</v>
      </c>
      <c r="N13" s="26">
        <v>21</v>
      </c>
      <c r="O13" s="32">
        <v>23</v>
      </c>
      <c r="P13" s="26">
        <v>23</v>
      </c>
      <c r="Q13" s="26">
        <v>21</v>
      </c>
      <c r="R13" s="26">
        <v>23</v>
      </c>
      <c r="S13" s="26">
        <v>23</v>
      </c>
      <c r="T13" s="32">
        <v>23</v>
      </c>
      <c r="U13" s="1">
        <v>23</v>
      </c>
      <c r="V13" s="33">
        <v>23</v>
      </c>
      <c r="W13" s="32">
        <v>23</v>
      </c>
      <c r="X13" s="26">
        <f t="shared" si="1"/>
        <v>23</v>
      </c>
      <c r="Y13" s="26">
        <f t="shared" si="2"/>
        <v>23</v>
      </c>
    </row>
    <row r="14" spans="1:25" x14ac:dyDescent="0.25">
      <c r="A14" s="41">
        <f t="shared" si="5"/>
        <v>2017</v>
      </c>
      <c r="B14" s="42">
        <v>6</v>
      </c>
      <c r="C14" s="41">
        <v>2</v>
      </c>
      <c r="D14" s="48">
        <f t="shared" si="0"/>
        <v>8</v>
      </c>
      <c r="E14" s="49">
        <f t="shared" si="3"/>
        <v>0.20040129846930999</v>
      </c>
      <c r="F14" s="49">
        <f t="shared" si="4"/>
        <v>5.4324414626586801</v>
      </c>
      <c r="G14" s="37">
        <f>results!K14</f>
        <v>1.6032103877544799</v>
      </c>
      <c r="H14" s="37">
        <f>results!L14</f>
        <v>43.459531701269441</v>
      </c>
      <c r="I14" s="50"/>
      <c r="J14" s="3">
        <v>9</v>
      </c>
      <c r="K14" s="3">
        <v>8</v>
      </c>
      <c r="L14" s="26">
        <v>9</v>
      </c>
      <c r="M14" s="26">
        <v>9</v>
      </c>
      <c r="N14" s="26">
        <v>8</v>
      </c>
      <c r="O14" s="32">
        <v>8</v>
      </c>
      <c r="P14" s="26">
        <v>9</v>
      </c>
      <c r="Q14" s="26">
        <v>8</v>
      </c>
      <c r="R14" s="26">
        <v>10</v>
      </c>
      <c r="S14" s="26">
        <v>10</v>
      </c>
      <c r="T14" s="32">
        <v>8</v>
      </c>
      <c r="U14" s="1">
        <v>9</v>
      </c>
      <c r="V14" s="33">
        <v>9</v>
      </c>
      <c r="W14" s="32">
        <v>8</v>
      </c>
      <c r="X14" s="26">
        <f t="shared" si="1"/>
        <v>8</v>
      </c>
      <c r="Y14" s="26">
        <f t="shared" si="2"/>
        <v>8</v>
      </c>
    </row>
    <row r="15" spans="1:25" x14ac:dyDescent="0.25">
      <c r="A15" s="41">
        <f t="shared" si="5"/>
        <v>2017</v>
      </c>
      <c r="B15" s="42">
        <v>6</v>
      </c>
      <c r="C15" s="41">
        <v>5</v>
      </c>
      <c r="D15" s="48">
        <f t="shared" si="0"/>
        <v>22</v>
      </c>
      <c r="E15" s="49">
        <f t="shared" si="3"/>
        <v>0.28614237909503998</v>
      </c>
      <c r="F15" s="49">
        <f t="shared" si="4"/>
        <v>6.7459523127207497</v>
      </c>
      <c r="G15" s="37">
        <f>results!K15</f>
        <v>6.2951323400908796</v>
      </c>
      <c r="H15" s="37">
        <f>results!L15</f>
        <v>148.4109508798565</v>
      </c>
      <c r="I15" s="50"/>
      <c r="J15" s="3">
        <v>21</v>
      </c>
      <c r="K15" s="3">
        <v>22</v>
      </c>
      <c r="L15" s="26">
        <v>21</v>
      </c>
      <c r="M15" s="26">
        <v>22</v>
      </c>
      <c r="N15" s="26">
        <v>22</v>
      </c>
      <c r="O15" s="32">
        <v>22</v>
      </c>
      <c r="P15" s="26">
        <v>21</v>
      </c>
      <c r="Q15" s="26">
        <v>22</v>
      </c>
      <c r="R15" s="26">
        <v>20</v>
      </c>
      <c r="S15" s="26">
        <v>20</v>
      </c>
      <c r="T15" s="32">
        <v>22</v>
      </c>
      <c r="U15" s="1">
        <v>21</v>
      </c>
      <c r="V15" s="33">
        <v>21</v>
      </c>
      <c r="W15" s="32">
        <v>22</v>
      </c>
      <c r="X15" s="26">
        <f t="shared" si="1"/>
        <v>22</v>
      </c>
      <c r="Y15" s="26">
        <f t="shared" si="2"/>
        <v>22</v>
      </c>
    </row>
    <row r="16" spans="1:25" x14ac:dyDescent="0.25">
      <c r="A16" s="41">
        <f t="shared" si="5"/>
        <v>2017</v>
      </c>
      <c r="B16" s="42">
        <v>7</v>
      </c>
      <c r="C16" s="41">
        <v>2</v>
      </c>
      <c r="D16" s="48">
        <f t="shared" si="0"/>
        <v>10</v>
      </c>
      <c r="E16" s="49">
        <f t="shared" si="3"/>
        <v>0.19858028018519</v>
      </c>
      <c r="F16" s="49">
        <f t="shared" si="4"/>
        <v>5.3228816392464706</v>
      </c>
      <c r="G16" s="37">
        <f>results!K16</f>
        <v>1.9858028018519001</v>
      </c>
      <c r="H16" s="37">
        <f>results!L16</f>
        <v>53.228816392464708</v>
      </c>
      <c r="I16" s="50"/>
      <c r="J16" s="3">
        <v>8</v>
      </c>
      <c r="K16" s="3">
        <v>9</v>
      </c>
      <c r="L16" s="26">
        <v>9</v>
      </c>
      <c r="M16" s="26">
        <v>8</v>
      </c>
      <c r="N16" s="26">
        <v>8</v>
      </c>
      <c r="O16" s="32">
        <v>10</v>
      </c>
      <c r="P16" s="26">
        <v>9</v>
      </c>
      <c r="Q16" s="26">
        <v>9</v>
      </c>
      <c r="R16" s="26">
        <v>8</v>
      </c>
      <c r="S16" s="26">
        <v>8</v>
      </c>
      <c r="T16" s="32">
        <v>10</v>
      </c>
      <c r="U16" s="1">
        <v>9</v>
      </c>
      <c r="V16" s="33">
        <v>9</v>
      </c>
      <c r="W16" s="32">
        <v>10</v>
      </c>
      <c r="X16" s="26">
        <f t="shared" si="1"/>
        <v>10</v>
      </c>
      <c r="Y16" s="26">
        <f t="shared" si="2"/>
        <v>10</v>
      </c>
    </row>
    <row r="17" spans="1:25" x14ac:dyDescent="0.25">
      <c r="A17" s="41">
        <f t="shared" si="5"/>
        <v>2017</v>
      </c>
      <c r="B17" s="42">
        <v>7</v>
      </c>
      <c r="C17" s="41">
        <v>5</v>
      </c>
      <c r="D17" s="48">
        <f t="shared" si="0"/>
        <v>21</v>
      </c>
      <c r="E17" s="49">
        <f t="shared" si="3"/>
        <v>0.28473252292954998</v>
      </c>
      <c r="F17" s="49">
        <f t="shared" si="4"/>
        <v>6.6220139405809011</v>
      </c>
      <c r="G17" s="37">
        <f>results!K17</f>
        <v>5.9793829815205495</v>
      </c>
      <c r="H17" s="37">
        <f>results!L17</f>
        <v>139.06229275219891</v>
      </c>
      <c r="I17" s="50"/>
      <c r="J17" s="3">
        <v>23</v>
      </c>
      <c r="K17" s="3">
        <v>22</v>
      </c>
      <c r="L17" s="26">
        <v>22</v>
      </c>
      <c r="M17" s="26">
        <v>23</v>
      </c>
      <c r="N17" s="26">
        <v>23</v>
      </c>
      <c r="O17" s="32">
        <v>21</v>
      </c>
      <c r="P17" s="26">
        <v>22</v>
      </c>
      <c r="Q17" s="26">
        <v>22</v>
      </c>
      <c r="R17" s="26">
        <v>23</v>
      </c>
      <c r="S17" s="26">
        <v>23</v>
      </c>
      <c r="T17" s="32">
        <v>21</v>
      </c>
      <c r="U17" s="1">
        <v>22</v>
      </c>
      <c r="V17" s="33">
        <v>22</v>
      </c>
      <c r="W17" s="32">
        <v>21</v>
      </c>
      <c r="X17" s="26">
        <f t="shared" si="1"/>
        <v>21</v>
      </c>
      <c r="Y17" s="26">
        <f t="shared" si="2"/>
        <v>21</v>
      </c>
    </row>
    <row r="18" spans="1:25" x14ac:dyDescent="0.25">
      <c r="A18" s="41">
        <f t="shared" si="5"/>
        <v>2017</v>
      </c>
      <c r="B18" s="42">
        <v>8</v>
      </c>
      <c r="C18" s="41">
        <v>2</v>
      </c>
      <c r="D18" s="48">
        <f t="shared" si="0"/>
        <v>8</v>
      </c>
      <c r="E18" s="49">
        <f t="shared" si="3"/>
        <v>0.19504737243663997</v>
      </c>
      <c r="F18" s="49">
        <f t="shared" si="4"/>
        <v>5.2135378688510201</v>
      </c>
      <c r="G18" s="37">
        <f>results!K18</f>
        <v>1.5603789794931198</v>
      </c>
      <c r="H18" s="37">
        <f>results!L18</f>
        <v>41.708302950808161</v>
      </c>
      <c r="I18" s="50"/>
      <c r="J18" s="3">
        <v>10</v>
      </c>
      <c r="K18" s="3">
        <v>9</v>
      </c>
      <c r="L18" s="26">
        <v>8</v>
      </c>
      <c r="M18" s="26">
        <v>9</v>
      </c>
      <c r="N18" s="26">
        <v>10</v>
      </c>
      <c r="O18" s="32">
        <v>8</v>
      </c>
      <c r="P18" s="26">
        <v>8</v>
      </c>
      <c r="Q18" s="26">
        <v>9</v>
      </c>
      <c r="R18" s="26">
        <v>9</v>
      </c>
      <c r="S18" s="26">
        <v>9</v>
      </c>
      <c r="T18" s="32">
        <v>8</v>
      </c>
      <c r="U18" s="1">
        <v>8</v>
      </c>
      <c r="V18" s="33">
        <v>8</v>
      </c>
      <c r="W18" s="32">
        <v>8</v>
      </c>
      <c r="X18" s="26">
        <f t="shared" si="1"/>
        <v>8</v>
      </c>
      <c r="Y18" s="26">
        <f t="shared" si="2"/>
        <v>8</v>
      </c>
    </row>
    <row r="19" spans="1:25" x14ac:dyDescent="0.25">
      <c r="A19" s="41">
        <f t="shared" si="5"/>
        <v>2017</v>
      </c>
      <c r="B19" s="42">
        <v>8</v>
      </c>
      <c r="C19" s="41">
        <v>5</v>
      </c>
      <c r="D19" s="48">
        <f t="shared" si="0"/>
        <v>23</v>
      </c>
      <c r="E19" s="49">
        <f t="shared" si="3"/>
        <v>0.28442718269667999</v>
      </c>
      <c r="F19" s="49">
        <f t="shared" si="4"/>
        <v>6.5841407285919198</v>
      </c>
      <c r="G19" s="37">
        <f>results!K19</f>
        <v>6.5418252020236398</v>
      </c>
      <c r="H19" s="37">
        <f>results!L19</f>
        <v>151.43523675761415</v>
      </c>
      <c r="I19" s="50"/>
      <c r="J19" s="3">
        <v>21</v>
      </c>
      <c r="K19" s="3">
        <v>22</v>
      </c>
      <c r="L19" s="26">
        <v>23</v>
      </c>
      <c r="M19" s="26">
        <v>21</v>
      </c>
      <c r="N19" s="26">
        <v>21</v>
      </c>
      <c r="O19" s="32">
        <v>23</v>
      </c>
      <c r="P19" s="26">
        <v>23</v>
      </c>
      <c r="Q19" s="26">
        <v>22</v>
      </c>
      <c r="R19" s="26">
        <v>22</v>
      </c>
      <c r="S19" s="26">
        <v>22</v>
      </c>
      <c r="T19" s="32">
        <v>23</v>
      </c>
      <c r="U19" s="1">
        <v>23</v>
      </c>
      <c r="V19" s="33">
        <v>23</v>
      </c>
      <c r="W19" s="32">
        <v>23</v>
      </c>
      <c r="X19" s="26">
        <f t="shared" si="1"/>
        <v>23</v>
      </c>
      <c r="Y19" s="26">
        <f t="shared" si="2"/>
        <v>23</v>
      </c>
    </row>
    <row r="20" spans="1:25" x14ac:dyDescent="0.25">
      <c r="A20" s="41">
        <f t="shared" si="5"/>
        <v>2017</v>
      </c>
      <c r="B20" s="42">
        <v>9</v>
      </c>
      <c r="C20" s="41">
        <v>2</v>
      </c>
      <c r="D20" s="48">
        <f t="shared" si="0"/>
        <v>9</v>
      </c>
      <c r="E20" s="49">
        <f t="shared" si="3"/>
        <v>0.18641847950196003</v>
      </c>
      <c r="F20" s="49">
        <f t="shared" si="4"/>
        <v>5.2993583158910704</v>
      </c>
      <c r="G20" s="37">
        <f>results!K20</f>
        <v>1.6777663155176403</v>
      </c>
      <c r="H20" s="37">
        <f>results!L20</f>
        <v>47.694224843019633</v>
      </c>
      <c r="I20" s="50"/>
      <c r="J20" s="3">
        <v>8</v>
      </c>
      <c r="K20" s="3">
        <v>8</v>
      </c>
      <c r="L20" s="26">
        <v>10</v>
      </c>
      <c r="M20" s="26">
        <v>8</v>
      </c>
      <c r="N20" s="26">
        <v>8</v>
      </c>
      <c r="O20" s="32">
        <v>9</v>
      </c>
      <c r="P20" s="26">
        <v>10</v>
      </c>
      <c r="Q20" s="26">
        <v>8</v>
      </c>
      <c r="R20" s="26">
        <v>9</v>
      </c>
      <c r="S20" s="26">
        <v>9</v>
      </c>
      <c r="T20" s="32">
        <v>9</v>
      </c>
      <c r="U20" s="1">
        <v>10</v>
      </c>
      <c r="V20" s="33">
        <v>10</v>
      </c>
      <c r="W20" s="32">
        <v>9</v>
      </c>
      <c r="X20" s="26">
        <f t="shared" si="1"/>
        <v>9</v>
      </c>
      <c r="Y20" s="26">
        <f t="shared" si="2"/>
        <v>9</v>
      </c>
    </row>
    <row r="21" spans="1:25" x14ac:dyDescent="0.25">
      <c r="A21" s="41">
        <f t="shared" si="5"/>
        <v>2017</v>
      </c>
      <c r="B21" s="42">
        <v>9</v>
      </c>
      <c r="C21" s="41">
        <v>5</v>
      </c>
      <c r="D21" s="48">
        <f t="shared" si="0"/>
        <v>21</v>
      </c>
      <c r="E21" s="49">
        <f t="shared" si="3"/>
        <v>0.28172211074194003</v>
      </c>
      <c r="F21" s="49">
        <f t="shared" si="4"/>
        <v>6.8943366427824699</v>
      </c>
      <c r="G21" s="37">
        <f>results!K21</f>
        <v>5.9161643255807403</v>
      </c>
      <c r="H21" s="37">
        <f>results!L21</f>
        <v>144.78106949843186</v>
      </c>
      <c r="I21" s="50"/>
      <c r="J21" s="3">
        <v>22</v>
      </c>
      <c r="K21" s="3">
        <v>22</v>
      </c>
      <c r="L21" s="26">
        <v>20</v>
      </c>
      <c r="M21" s="26">
        <v>22</v>
      </c>
      <c r="N21" s="26">
        <v>22</v>
      </c>
      <c r="O21" s="32">
        <v>21</v>
      </c>
      <c r="P21" s="26">
        <v>20</v>
      </c>
      <c r="Q21" s="26">
        <v>22</v>
      </c>
      <c r="R21" s="26">
        <v>21</v>
      </c>
      <c r="S21" s="26">
        <v>21</v>
      </c>
      <c r="T21" s="32">
        <v>21</v>
      </c>
      <c r="U21" s="1">
        <v>20</v>
      </c>
      <c r="V21" s="33">
        <v>20</v>
      </c>
      <c r="W21" s="32">
        <v>21</v>
      </c>
      <c r="X21" s="26">
        <f t="shared" si="1"/>
        <v>21</v>
      </c>
      <c r="Y21" s="26">
        <f t="shared" si="2"/>
        <v>21</v>
      </c>
    </row>
    <row r="22" spans="1:25" x14ac:dyDescent="0.25">
      <c r="A22" s="41">
        <f t="shared" si="5"/>
        <v>2017</v>
      </c>
      <c r="B22" s="42">
        <v>10</v>
      </c>
      <c r="C22" s="41">
        <v>2</v>
      </c>
      <c r="D22" s="48">
        <f t="shared" si="0"/>
        <v>9</v>
      </c>
      <c r="E22" s="49">
        <f t="shared" si="3"/>
        <v>0.19463400569538997</v>
      </c>
      <c r="F22" s="49">
        <f t="shared" si="4"/>
        <v>5.7373407710046802</v>
      </c>
      <c r="G22" s="37">
        <f>results!K22</f>
        <v>1.7517060512585096</v>
      </c>
      <c r="H22" s="37">
        <f>results!L22</f>
        <v>51.636066939042124</v>
      </c>
      <c r="I22" s="50"/>
      <c r="J22" s="3">
        <v>8</v>
      </c>
      <c r="K22" s="3">
        <v>10</v>
      </c>
      <c r="L22" s="26">
        <v>8</v>
      </c>
      <c r="M22" s="26">
        <v>8</v>
      </c>
      <c r="N22" s="26">
        <v>9</v>
      </c>
      <c r="O22" s="32">
        <v>9</v>
      </c>
      <c r="P22" s="26">
        <v>8</v>
      </c>
      <c r="Q22" s="26">
        <v>10</v>
      </c>
      <c r="R22" s="26">
        <v>8</v>
      </c>
      <c r="S22" s="26">
        <v>8</v>
      </c>
      <c r="T22" s="32">
        <v>9</v>
      </c>
      <c r="U22" s="1">
        <v>8</v>
      </c>
      <c r="V22" s="33">
        <v>8</v>
      </c>
      <c r="W22" s="32">
        <v>9</v>
      </c>
      <c r="X22" s="26">
        <f t="shared" si="1"/>
        <v>9</v>
      </c>
      <c r="Y22" s="26">
        <f t="shared" si="2"/>
        <v>9</v>
      </c>
    </row>
    <row r="23" spans="1:25" x14ac:dyDescent="0.25">
      <c r="A23" s="41">
        <f t="shared" si="5"/>
        <v>2017</v>
      </c>
      <c r="B23" s="42">
        <v>10</v>
      </c>
      <c r="C23" s="41">
        <v>5</v>
      </c>
      <c r="D23" s="48">
        <f t="shared" si="0"/>
        <v>22</v>
      </c>
      <c r="E23" s="49">
        <f t="shared" si="3"/>
        <v>0.28470606745811006</v>
      </c>
      <c r="F23" s="49">
        <f t="shared" si="4"/>
        <v>7.2445850384218691</v>
      </c>
      <c r="G23" s="37">
        <f>results!K23</f>
        <v>6.2635334840784216</v>
      </c>
      <c r="H23" s="37">
        <f>results!L23</f>
        <v>159.38087084528112</v>
      </c>
      <c r="I23" s="50"/>
      <c r="J23" s="3">
        <v>23</v>
      </c>
      <c r="K23" s="3">
        <v>21</v>
      </c>
      <c r="L23" s="26">
        <v>23</v>
      </c>
      <c r="M23" s="26">
        <v>23</v>
      </c>
      <c r="N23" s="26">
        <v>22</v>
      </c>
      <c r="O23" s="32">
        <v>22</v>
      </c>
      <c r="P23" s="26">
        <v>23</v>
      </c>
      <c r="Q23" s="26">
        <v>21</v>
      </c>
      <c r="R23" s="26">
        <v>23</v>
      </c>
      <c r="S23" s="26">
        <v>23</v>
      </c>
      <c r="T23" s="32">
        <v>22</v>
      </c>
      <c r="U23" s="1">
        <v>23</v>
      </c>
      <c r="V23" s="33">
        <v>23</v>
      </c>
      <c r="W23" s="32">
        <v>22</v>
      </c>
      <c r="X23" s="26">
        <f t="shared" si="1"/>
        <v>22</v>
      </c>
      <c r="Y23" s="26">
        <f t="shared" si="2"/>
        <v>22</v>
      </c>
    </row>
    <row r="24" spans="1:25" x14ac:dyDescent="0.25">
      <c r="A24" s="41">
        <f t="shared" si="5"/>
        <v>2017</v>
      </c>
      <c r="B24" s="42">
        <v>11</v>
      </c>
      <c r="C24" s="41">
        <v>2</v>
      </c>
      <c r="D24" s="48">
        <f t="shared" si="0"/>
        <v>8</v>
      </c>
      <c r="E24" s="49">
        <f t="shared" si="3"/>
        <v>0.18703467152424999</v>
      </c>
      <c r="F24" s="49">
        <f t="shared" si="4"/>
        <v>5.6293649689449401</v>
      </c>
      <c r="G24" s="37">
        <f>results!K24</f>
        <v>1.4962773721939999</v>
      </c>
      <c r="H24" s="37">
        <f>results!L24</f>
        <v>45.034919751559521</v>
      </c>
      <c r="I24" s="50"/>
      <c r="J24" s="3">
        <v>10</v>
      </c>
      <c r="K24" s="3">
        <v>8</v>
      </c>
      <c r="L24" s="26">
        <v>8</v>
      </c>
      <c r="M24" s="26">
        <v>9</v>
      </c>
      <c r="N24" s="26">
        <v>9</v>
      </c>
      <c r="O24" s="32">
        <v>8</v>
      </c>
      <c r="P24" s="26">
        <v>8</v>
      </c>
      <c r="Q24" s="26">
        <v>8</v>
      </c>
      <c r="R24" s="26">
        <v>9</v>
      </c>
      <c r="S24" s="26">
        <v>9</v>
      </c>
      <c r="T24" s="32">
        <v>8</v>
      </c>
      <c r="U24" s="1">
        <v>8</v>
      </c>
      <c r="V24" s="33">
        <v>8</v>
      </c>
      <c r="W24" s="32">
        <v>8</v>
      </c>
      <c r="X24" s="26">
        <f t="shared" si="1"/>
        <v>8</v>
      </c>
      <c r="Y24" s="26">
        <f t="shared" si="2"/>
        <v>8</v>
      </c>
    </row>
    <row r="25" spans="1:25" x14ac:dyDescent="0.25">
      <c r="A25" s="41">
        <f t="shared" si="5"/>
        <v>2017</v>
      </c>
      <c r="B25" s="42">
        <v>11</v>
      </c>
      <c r="C25" s="41">
        <v>5</v>
      </c>
      <c r="D25" s="48">
        <f t="shared" si="0"/>
        <v>22</v>
      </c>
      <c r="E25" s="49">
        <f t="shared" si="3"/>
        <v>0.28169014371394996</v>
      </c>
      <c r="F25" s="49">
        <f t="shared" si="4"/>
        <v>7.2769874793793203</v>
      </c>
      <c r="G25" s="37">
        <f>results!K25</f>
        <v>6.1971831617068993</v>
      </c>
      <c r="H25" s="37">
        <f>results!L25</f>
        <v>160.09372454634504</v>
      </c>
      <c r="I25" s="50"/>
      <c r="J25" s="3">
        <v>20</v>
      </c>
      <c r="K25" s="3">
        <v>22</v>
      </c>
      <c r="L25" s="26">
        <v>22</v>
      </c>
      <c r="M25" s="26">
        <v>22</v>
      </c>
      <c r="N25" s="26">
        <v>21</v>
      </c>
      <c r="O25" s="32">
        <v>22</v>
      </c>
      <c r="P25" s="26">
        <v>22</v>
      </c>
      <c r="Q25" s="26">
        <v>22</v>
      </c>
      <c r="R25" s="26">
        <v>21</v>
      </c>
      <c r="S25" s="26">
        <v>21</v>
      </c>
      <c r="T25" s="32">
        <v>22</v>
      </c>
      <c r="U25" s="1">
        <v>22</v>
      </c>
      <c r="V25" s="33">
        <v>22</v>
      </c>
      <c r="W25" s="32">
        <v>22</v>
      </c>
      <c r="X25" s="26">
        <f t="shared" si="1"/>
        <v>22</v>
      </c>
      <c r="Y25" s="26">
        <f t="shared" si="2"/>
        <v>22</v>
      </c>
    </row>
    <row r="26" spans="1:25" x14ac:dyDescent="0.25">
      <c r="A26" s="41">
        <f t="shared" si="5"/>
        <v>2017</v>
      </c>
      <c r="B26" s="42">
        <v>12</v>
      </c>
      <c r="C26" s="41">
        <v>2</v>
      </c>
      <c r="D26" s="48">
        <f t="shared" si="0"/>
        <v>10</v>
      </c>
      <c r="E26" s="49">
        <f t="shared" si="3"/>
        <v>0.19949189163856001</v>
      </c>
      <c r="F26" s="49">
        <f t="shared" si="4"/>
        <v>5.7512155634636501</v>
      </c>
      <c r="G26" s="37">
        <f>results!K26</f>
        <v>1.9949189163856</v>
      </c>
      <c r="H26" s="37">
        <f>results!L26</f>
        <v>57.5121556346365</v>
      </c>
      <c r="I26" s="50"/>
      <c r="J26" s="3">
        <v>8</v>
      </c>
      <c r="K26" s="3">
        <v>8</v>
      </c>
      <c r="L26" s="26">
        <v>10</v>
      </c>
      <c r="M26" s="26">
        <v>8</v>
      </c>
      <c r="N26" s="26">
        <v>8</v>
      </c>
      <c r="O26" s="32">
        <v>10</v>
      </c>
      <c r="P26" s="26">
        <v>10</v>
      </c>
      <c r="Q26" s="26">
        <v>8</v>
      </c>
      <c r="R26" s="26">
        <v>9</v>
      </c>
      <c r="S26" s="26">
        <v>9</v>
      </c>
      <c r="T26" s="32">
        <v>10</v>
      </c>
      <c r="U26" s="1">
        <v>10</v>
      </c>
      <c r="V26" s="33">
        <v>10</v>
      </c>
      <c r="W26" s="32">
        <v>10</v>
      </c>
      <c r="X26" s="26">
        <f t="shared" si="1"/>
        <v>10</v>
      </c>
      <c r="Y26" s="26">
        <f t="shared" si="2"/>
        <v>10</v>
      </c>
    </row>
    <row r="27" spans="1:25" x14ac:dyDescent="0.25">
      <c r="A27" s="41">
        <f t="shared" si="5"/>
        <v>2017</v>
      </c>
      <c r="B27" s="42">
        <v>12</v>
      </c>
      <c r="C27" s="41">
        <v>5</v>
      </c>
      <c r="D27" s="48">
        <f t="shared" si="0"/>
        <v>21</v>
      </c>
      <c r="E27" s="49">
        <f t="shared" si="3"/>
        <v>0.30178527889524998</v>
      </c>
      <c r="F27" s="49">
        <f t="shared" si="4"/>
        <v>7.6117076155947503</v>
      </c>
      <c r="G27" s="37">
        <f>results!K27</f>
        <v>6.3374908568002493</v>
      </c>
      <c r="H27" s="37">
        <f>results!L27</f>
        <v>159.84585992748976</v>
      </c>
      <c r="I27" s="50"/>
      <c r="J27" s="3">
        <v>23</v>
      </c>
      <c r="K27" s="3">
        <v>23</v>
      </c>
      <c r="L27" s="26">
        <v>21</v>
      </c>
      <c r="M27" s="26">
        <v>23</v>
      </c>
      <c r="N27" s="26">
        <v>23</v>
      </c>
      <c r="O27" s="32">
        <v>21</v>
      </c>
      <c r="P27" s="26">
        <v>21</v>
      </c>
      <c r="Q27" s="26">
        <v>23</v>
      </c>
      <c r="R27" s="26">
        <v>22</v>
      </c>
      <c r="S27" s="26">
        <v>22</v>
      </c>
      <c r="T27" s="32">
        <v>21</v>
      </c>
      <c r="U27" s="1">
        <v>21</v>
      </c>
      <c r="V27" s="33">
        <v>21</v>
      </c>
      <c r="W27" s="32">
        <v>21</v>
      </c>
      <c r="X27" s="26">
        <f t="shared" si="1"/>
        <v>21</v>
      </c>
      <c r="Y27" s="26">
        <f t="shared" si="2"/>
        <v>21</v>
      </c>
    </row>
    <row r="28" spans="1:25" x14ac:dyDescent="0.25">
      <c r="A28" s="71" t="s">
        <v>73</v>
      </c>
      <c r="B28" s="72"/>
      <c r="C28" s="72"/>
      <c r="D28" s="72"/>
      <c r="E28" s="72"/>
      <c r="F28" s="73"/>
      <c r="G28" s="37">
        <f>SUM(G4:G27)</f>
        <v>93.0360115286135</v>
      </c>
      <c r="H28" s="37">
        <f>SUM(H4:H27)</f>
        <v>2407.1084586021325</v>
      </c>
      <c r="I28" s="50"/>
      <c r="J28" s="3"/>
      <c r="K28" s="3"/>
      <c r="U28" s="1"/>
    </row>
    <row r="29" spans="1:25" x14ac:dyDescent="0.25">
      <c r="A29" s="51"/>
      <c r="B29" s="52"/>
      <c r="C29" s="51"/>
      <c r="D29" s="53"/>
      <c r="E29" s="54"/>
      <c r="F29" s="54"/>
      <c r="G29" s="55"/>
      <c r="H29" s="55"/>
      <c r="I29" s="50"/>
      <c r="J29" s="3"/>
      <c r="K29" s="3"/>
      <c r="U29" s="1"/>
    </row>
    <row r="30" spans="1:25" x14ac:dyDescent="0.25">
      <c r="A30" s="1" t="s">
        <v>10</v>
      </c>
      <c r="B30" s="24"/>
      <c r="C30" s="1"/>
      <c r="D30" s="56"/>
      <c r="E30" s="57" t="s">
        <v>3</v>
      </c>
      <c r="F30" s="57" t="s">
        <v>74</v>
      </c>
      <c r="G30" s="58" t="s">
        <v>75</v>
      </c>
      <c r="H30" s="58" t="s">
        <v>76</v>
      </c>
      <c r="I30" s="50"/>
      <c r="J30" s="3"/>
      <c r="K30" s="3"/>
      <c r="U30" s="1"/>
    </row>
    <row r="31" spans="1:25" ht="52.9" customHeight="1" x14ac:dyDescent="0.25">
      <c r="A31" s="4" t="s">
        <v>11</v>
      </c>
      <c r="B31" s="74" t="s">
        <v>12</v>
      </c>
      <c r="C31" s="75"/>
      <c r="D31" s="38">
        <f>SUM(D4:D27)</f>
        <v>365</v>
      </c>
      <c r="E31" s="59"/>
      <c r="F31" s="59"/>
      <c r="G31" s="60">
        <f>SUM(G4:G27)</f>
        <v>93.0360115286135</v>
      </c>
      <c r="H31" s="60">
        <f>SUM(H4:H27)</f>
        <v>2407.1084586021325</v>
      </c>
      <c r="I31" s="7"/>
      <c r="J31" s="34">
        <f>SUM(J4:J27)</f>
        <v>366</v>
      </c>
      <c r="K31" s="34">
        <f t="shared" ref="K31:Y31" si="6">SUM(K4:K27)</f>
        <v>365</v>
      </c>
      <c r="L31" s="34">
        <f t="shared" si="6"/>
        <v>366</v>
      </c>
      <c r="M31" s="34">
        <f t="shared" si="6"/>
        <v>366</v>
      </c>
      <c r="N31" s="34">
        <f t="shared" si="6"/>
        <v>365</v>
      </c>
      <c r="O31" s="35">
        <f t="shared" si="6"/>
        <v>365</v>
      </c>
      <c r="P31" s="34">
        <f t="shared" si="6"/>
        <v>365</v>
      </c>
      <c r="Q31" s="34">
        <f t="shared" si="6"/>
        <v>365</v>
      </c>
      <c r="R31" s="34">
        <f t="shared" si="6"/>
        <v>366</v>
      </c>
      <c r="S31" s="34">
        <f t="shared" si="6"/>
        <v>365</v>
      </c>
      <c r="T31" s="35">
        <f t="shared" si="6"/>
        <v>365</v>
      </c>
      <c r="U31" s="34">
        <f t="shared" si="6"/>
        <v>365</v>
      </c>
      <c r="V31" s="36">
        <f t="shared" si="6"/>
        <v>366</v>
      </c>
      <c r="W31" s="35">
        <f t="shared" si="6"/>
        <v>365</v>
      </c>
      <c r="X31" s="34">
        <f t="shared" si="6"/>
        <v>365</v>
      </c>
      <c r="Y31" s="34">
        <f t="shared" si="6"/>
        <v>365</v>
      </c>
    </row>
    <row r="32" spans="1:25" ht="37.15" customHeight="1" x14ac:dyDescent="0.25">
      <c r="A32" s="4" t="s">
        <v>18</v>
      </c>
      <c r="B32" s="74" t="s">
        <v>20</v>
      </c>
      <c r="C32" s="75"/>
      <c r="D32" s="61"/>
      <c r="E32" s="62">
        <f>MIN(E5,E7,E9,E11,E13,E15,E17,E19,E21,E23,E25,E27)</f>
        <v>0.25959431350499995</v>
      </c>
      <c r="F32" s="62">
        <f>MIN(F5,F7,F9,F11,F13,F15,F17,F19,F21,F23,F25,F27)</f>
        <v>6.5841407285919198</v>
      </c>
      <c r="G32" s="63"/>
      <c r="H32" s="63"/>
      <c r="I32" s="22"/>
    </row>
    <row r="33" spans="1:9" ht="60" x14ac:dyDescent="0.25">
      <c r="A33" s="4" t="s">
        <v>18</v>
      </c>
      <c r="B33" s="74" t="s">
        <v>21</v>
      </c>
      <c r="C33" s="75"/>
      <c r="D33" s="61"/>
      <c r="E33" s="62">
        <f>MAX(E5,E7,E9,E11,E13,E15,E17,E19,E21,E23,E25,E27)</f>
        <v>0.30178527889524998</v>
      </c>
      <c r="F33" s="62">
        <f>MAX(F5,F7,F9,F11,F13,F15,F17,F19,F21,F23,F25,F27)</f>
        <v>7.6117076155947503</v>
      </c>
      <c r="G33" s="63"/>
      <c r="H33" s="63"/>
      <c r="I33" s="22"/>
    </row>
    <row r="34" spans="1:9" ht="70.900000000000006" customHeight="1" x14ac:dyDescent="0.25">
      <c r="A34" s="4" t="s">
        <v>18</v>
      </c>
      <c r="B34" s="74" t="s">
        <v>77</v>
      </c>
      <c r="C34" s="75"/>
      <c r="D34" s="61"/>
      <c r="E34" s="62">
        <f>MAX(E4:E27)</f>
        <v>0.30178527889524998</v>
      </c>
      <c r="F34" s="62">
        <f>MAX(F4:F27)</f>
        <v>7.6117076155947503</v>
      </c>
    </row>
    <row r="35" spans="1:9" x14ac:dyDescent="0.25">
      <c r="A35" s="23"/>
      <c r="B35" s="25"/>
    </row>
  </sheetData>
  <mergeCells count="11">
    <mergeCell ref="G3:H3"/>
    <mergeCell ref="A2:A3"/>
    <mergeCell ref="B2:B3"/>
    <mergeCell ref="C2:C3"/>
    <mergeCell ref="D2:D3"/>
    <mergeCell ref="E3:F3"/>
    <mergeCell ref="A28:F28"/>
    <mergeCell ref="B31:C31"/>
    <mergeCell ref="B32:C32"/>
    <mergeCell ref="B33:C33"/>
    <mergeCell ref="B34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SummaryReportBody</vt:lpstr>
      <vt:lpstr>Header2017</vt:lpstr>
      <vt:lpstr>results</vt:lpstr>
      <vt:lpstr>Ozone_cal</vt:lpstr>
      <vt:lpstr>PM25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MOVES</dc:creator>
  <cp:lastModifiedBy>Windows User</cp:lastModifiedBy>
  <cp:lastPrinted>2015-03-16T21:44:27Z</cp:lastPrinted>
  <dcterms:created xsi:type="dcterms:W3CDTF">2011-05-20T16:13:35Z</dcterms:created>
  <dcterms:modified xsi:type="dcterms:W3CDTF">2020-11-16T19:17:15Z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dfe6bc8f-0e1a-41fc-9dab-248f234b2e06</vt:lpwstr>
  </property>
</Properties>
</file>