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dbarton\Documents\Forms\"/>
    </mc:Choice>
  </mc:AlternateContent>
  <workbookProtection workbookPassword="C724" lockStructure="1"/>
  <bookViews>
    <workbookView xWindow="0" yWindow="0" windowWidth="19200" windowHeight="11205"/>
  </bookViews>
  <sheets>
    <sheet name="Instructions" sheetId="8" r:id="rId1"/>
    <sheet name="Segments" sheetId="3" r:id="rId2"/>
    <sheet name="Calculation Page" sheetId="5" r:id="rId3"/>
    <sheet name="Month Summary" sheetId="6" r:id="rId4"/>
    <sheet name="Month Graph" sheetId="9" r:id="rId5"/>
  </sheets>
  <definedNames>
    <definedName name="_xlnm.Print_Area" localSheetId="1">Segments!$A$1:$J$105</definedName>
  </definedNames>
  <calcPr calcId="152511"/>
</workbook>
</file>

<file path=xl/calcChain.xml><?xml version="1.0" encoding="utf-8"?>
<calcChain xmlns="http://schemas.openxmlformats.org/spreadsheetml/2006/main">
  <c r="AY5" i="5" l="1"/>
  <c r="AZ5" i="5" s="1"/>
  <c r="AY6" i="5"/>
  <c r="AZ6" i="5" s="1"/>
  <c r="AY7" i="5"/>
  <c r="AZ7" i="5" s="1"/>
  <c r="AY8" i="5"/>
  <c r="AZ8" i="5" s="1"/>
  <c r="AY9" i="5"/>
  <c r="AZ9" i="5" s="1"/>
  <c r="AY10" i="5"/>
  <c r="AZ10" i="5" s="1"/>
  <c r="AY11" i="5"/>
  <c r="AZ11" i="5" s="1"/>
  <c r="D7" i="3"/>
  <c r="D18" i="3"/>
  <c r="AY17" i="5"/>
  <c r="AZ17" i="5" s="1"/>
  <c r="AY18" i="5"/>
  <c r="AZ18" i="5" s="1"/>
  <c r="AY19" i="5"/>
  <c r="AZ19" i="5" s="1"/>
  <c r="AY20" i="5"/>
  <c r="AZ20" i="5" s="1"/>
  <c r="AY21" i="5"/>
  <c r="AZ21" i="5" s="1"/>
  <c r="AY22" i="5"/>
  <c r="AZ22" i="5" s="1"/>
  <c r="AY23" i="5"/>
  <c r="AZ23" i="5" s="1"/>
  <c r="AY29" i="5"/>
  <c r="AZ29" i="5" s="1"/>
  <c r="AY30" i="5"/>
  <c r="AZ30" i="5" s="1"/>
  <c r="AY31" i="5"/>
  <c r="AZ31" i="5" s="1"/>
  <c r="AY32" i="5"/>
  <c r="AZ32" i="5" s="1"/>
  <c r="BB32" i="5" s="1"/>
  <c r="AY33" i="5"/>
  <c r="AZ33" i="5" s="1"/>
  <c r="AY34" i="5"/>
  <c r="AZ34" i="5" s="1"/>
  <c r="AY35" i="5"/>
  <c r="AZ35" i="5" s="1"/>
  <c r="B3" i="9"/>
  <c r="B4" i="9"/>
  <c r="B2" i="9"/>
  <c r="B1" i="9"/>
  <c r="D29" i="3"/>
  <c r="D42" i="3"/>
  <c r="D53" i="3"/>
  <c r="AX8" i="5"/>
  <c r="AX9" i="5"/>
  <c r="AX10" i="5"/>
  <c r="AX11" i="5"/>
  <c r="AK41" i="5"/>
  <c r="AL41" i="5"/>
  <c r="AK42" i="5"/>
  <c r="AL42" i="5"/>
  <c r="AK43" i="5"/>
  <c r="AL43" i="5"/>
  <c r="AJ44" i="5"/>
  <c r="AK44" i="5"/>
  <c r="AM44" i="5" s="1"/>
  <c r="AO44" i="5" s="1"/>
  <c r="AJ45" i="5"/>
  <c r="AK45" i="5"/>
  <c r="AL45" i="5"/>
  <c r="AJ46" i="5"/>
  <c r="AK46" i="5"/>
  <c r="AL46" i="5" s="1"/>
  <c r="AJ47" i="5"/>
  <c r="AK47" i="5"/>
  <c r="AL47" i="5"/>
  <c r="BA29" i="5"/>
  <c r="BC29" i="5"/>
  <c r="BA30" i="5"/>
  <c r="BC30" i="5"/>
  <c r="BA31" i="5"/>
  <c r="BC31" i="5"/>
  <c r="BA32" i="5"/>
  <c r="BC32" i="5"/>
  <c r="BA33" i="5"/>
  <c r="BC33" i="5"/>
  <c r="BA34" i="5"/>
  <c r="BC34" i="5"/>
  <c r="BA35" i="5"/>
  <c r="BC35" i="5"/>
  <c r="BA17" i="5"/>
  <c r="BC17" i="5"/>
  <c r="BA18" i="5"/>
  <c r="BC18" i="5"/>
  <c r="BA19" i="5"/>
  <c r="BC19" i="5"/>
  <c r="BA20" i="5"/>
  <c r="BC20" i="5"/>
  <c r="BA21" i="5"/>
  <c r="BC21" i="5" s="1"/>
  <c r="BA22" i="5"/>
  <c r="BC22" i="5"/>
  <c r="BA23" i="5"/>
  <c r="BC23" i="5"/>
  <c r="BA5" i="5"/>
  <c r="BC5" i="5"/>
  <c r="BA6" i="5"/>
  <c r="BC6" i="5" s="1"/>
  <c r="BA7" i="5"/>
  <c r="BC7" i="5"/>
  <c r="BA8" i="5"/>
  <c r="BC8" i="5" s="1"/>
  <c r="BA9" i="5"/>
  <c r="BC9" i="5"/>
  <c r="BA10" i="5"/>
  <c r="BC10" i="5" s="1"/>
  <c r="BA11" i="5"/>
  <c r="BC11" i="5"/>
  <c r="AM41" i="5"/>
  <c r="AO41" i="5" s="1"/>
  <c r="AM42" i="5"/>
  <c r="AO42" i="5"/>
  <c r="AM43" i="5"/>
  <c r="AO43" i="5" s="1"/>
  <c r="AM45" i="5"/>
  <c r="AO45" i="5" s="1"/>
  <c r="AM47" i="5"/>
  <c r="AO47" i="5" s="1"/>
  <c r="AK29" i="5"/>
  <c r="AM29" i="5"/>
  <c r="AO29" i="5"/>
  <c r="AK30" i="5"/>
  <c r="AM30" i="5" s="1"/>
  <c r="AO30" i="5" s="1"/>
  <c r="AK31" i="5"/>
  <c r="AM31" i="5" s="1"/>
  <c r="AO31" i="5" s="1"/>
  <c r="AJ32" i="5"/>
  <c r="AK32" i="5"/>
  <c r="AM32" i="5" s="1"/>
  <c r="AO32" i="5" s="1"/>
  <c r="AJ33" i="5"/>
  <c r="AK33" i="5"/>
  <c r="AM33" i="5" s="1"/>
  <c r="AO33" i="5" s="1"/>
  <c r="AJ34" i="5"/>
  <c r="AK34" i="5"/>
  <c r="AM34" i="5" s="1"/>
  <c r="AO34" i="5" s="1"/>
  <c r="AJ35" i="5"/>
  <c r="AK35" i="5"/>
  <c r="AM35" i="5" s="1"/>
  <c r="AO35" i="5" s="1"/>
  <c r="AK17" i="5"/>
  <c r="AM17" i="5"/>
  <c r="AO17" i="5" s="1"/>
  <c r="AK18" i="5"/>
  <c r="AM18" i="5"/>
  <c r="AO18" i="5"/>
  <c r="AK19" i="5"/>
  <c r="AM19" i="5" s="1"/>
  <c r="AO19" i="5" s="1"/>
  <c r="AJ20" i="5"/>
  <c r="AK20" i="5"/>
  <c r="AM20" i="5" s="1"/>
  <c r="AO20" i="5" s="1"/>
  <c r="AJ21" i="5"/>
  <c r="AK21" i="5"/>
  <c r="AM21" i="5" s="1"/>
  <c r="AO21" i="5" s="1"/>
  <c r="AJ22" i="5"/>
  <c r="AK22" i="5"/>
  <c r="AM22" i="5" s="1"/>
  <c r="AO22" i="5" s="1"/>
  <c r="AJ23" i="5"/>
  <c r="AK23" i="5"/>
  <c r="AM23" i="5" s="1"/>
  <c r="AO23" i="5" s="1"/>
  <c r="AK5" i="5"/>
  <c r="AM5" i="5" s="1"/>
  <c r="AO5" i="5" s="1"/>
  <c r="AK6" i="5"/>
  <c r="AM6" i="5"/>
  <c r="AO6" i="5" s="1"/>
  <c r="AK7" i="5"/>
  <c r="AM7" i="5"/>
  <c r="AO7" i="5"/>
  <c r="AJ8" i="5"/>
  <c r="AK8" i="5"/>
  <c r="AM8" i="5"/>
  <c r="AO8" i="5"/>
  <c r="AJ9" i="5"/>
  <c r="AK9" i="5"/>
  <c r="AM9" i="5"/>
  <c r="AO9" i="5"/>
  <c r="AJ10" i="5"/>
  <c r="AK10" i="5"/>
  <c r="AM10" i="5"/>
  <c r="AO10" i="5"/>
  <c r="AJ11" i="5"/>
  <c r="AK11" i="5"/>
  <c r="AM11" i="5"/>
  <c r="AO11" i="5"/>
  <c r="W137" i="5"/>
  <c r="Y137" i="5" s="1"/>
  <c r="AA137" i="5" s="1"/>
  <c r="W138" i="5"/>
  <c r="Y138" i="5" s="1"/>
  <c r="AA138" i="5" s="1"/>
  <c r="W139" i="5"/>
  <c r="Y139" i="5"/>
  <c r="AA139" i="5" s="1"/>
  <c r="V140" i="5"/>
  <c r="W140" i="5"/>
  <c r="Y140" i="5"/>
  <c r="AA140" i="5" s="1"/>
  <c r="V141" i="5"/>
  <c r="W141" i="5"/>
  <c r="Y141" i="5"/>
  <c r="AA141" i="5" s="1"/>
  <c r="V142" i="5"/>
  <c r="W142" i="5"/>
  <c r="Y142" i="5"/>
  <c r="AA142" i="5" s="1"/>
  <c r="V143" i="5"/>
  <c r="W143" i="5"/>
  <c r="Y143" i="5"/>
  <c r="AA143" i="5" s="1"/>
  <c r="W125" i="5"/>
  <c r="Y125" i="5"/>
  <c r="AA125" i="5"/>
  <c r="W126" i="5"/>
  <c r="Y126" i="5" s="1"/>
  <c r="AA126" i="5" s="1"/>
  <c r="W127" i="5"/>
  <c r="Y127" i="5" s="1"/>
  <c r="AA127" i="5" s="1"/>
  <c r="V128" i="5"/>
  <c r="W128" i="5"/>
  <c r="Y128" i="5" s="1"/>
  <c r="AA128" i="5" s="1"/>
  <c r="V129" i="5"/>
  <c r="W129" i="5"/>
  <c r="Y129" i="5" s="1"/>
  <c r="AA129" i="5" s="1"/>
  <c r="V130" i="5"/>
  <c r="W130" i="5"/>
  <c r="Y130" i="5" s="1"/>
  <c r="AA130" i="5" s="1"/>
  <c r="V131" i="5"/>
  <c r="W131" i="5"/>
  <c r="Y131" i="5" s="1"/>
  <c r="AA131" i="5" s="1"/>
  <c r="W113" i="5"/>
  <c r="Y113" i="5"/>
  <c r="AA113" i="5" s="1"/>
  <c r="W114" i="5"/>
  <c r="Y114" i="5"/>
  <c r="AA114" i="5"/>
  <c r="W115" i="5"/>
  <c r="Y115" i="5" s="1"/>
  <c r="AA115" i="5" s="1"/>
  <c r="V116" i="5"/>
  <c r="W116" i="5"/>
  <c r="Y116" i="5" s="1"/>
  <c r="AA116" i="5" s="1"/>
  <c r="V117" i="5"/>
  <c r="W117" i="5"/>
  <c r="Y117" i="5" s="1"/>
  <c r="AA117" i="5" s="1"/>
  <c r="V118" i="5"/>
  <c r="W118" i="5"/>
  <c r="Y118" i="5" s="1"/>
  <c r="AA118" i="5" s="1"/>
  <c r="V119" i="5"/>
  <c r="W119" i="5"/>
  <c r="Y119" i="5" s="1"/>
  <c r="AA119" i="5" s="1"/>
  <c r="W101" i="5"/>
  <c r="Y101" i="5" s="1"/>
  <c r="AA101" i="5" s="1"/>
  <c r="W102" i="5"/>
  <c r="Y102" i="5"/>
  <c r="AA102" i="5" s="1"/>
  <c r="W103" i="5"/>
  <c r="Y103" i="5"/>
  <c r="AA103" i="5"/>
  <c r="V104" i="5"/>
  <c r="W104" i="5"/>
  <c r="Y104" i="5"/>
  <c r="AA104" i="5"/>
  <c r="V105" i="5"/>
  <c r="W105" i="5"/>
  <c r="Y105" i="5"/>
  <c r="AA105" i="5"/>
  <c r="V106" i="5"/>
  <c r="W106" i="5"/>
  <c r="Y106" i="5"/>
  <c r="AA106" i="5"/>
  <c r="V107" i="5"/>
  <c r="W107" i="5"/>
  <c r="Y107" i="5"/>
  <c r="AA107" i="5"/>
  <c r="W89" i="5"/>
  <c r="Y89" i="5" s="1"/>
  <c r="AA89" i="5" s="1"/>
  <c r="W90" i="5"/>
  <c r="Y90" i="5" s="1"/>
  <c r="AA90" i="5" s="1"/>
  <c r="W91" i="5"/>
  <c r="Y91" i="5"/>
  <c r="AA91" i="5" s="1"/>
  <c r="V92" i="5"/>
  <c r="W92" i="5"/>
  <c r="Y92" i="5"/>
  <c r="AA92" i="5" s="1"/>
  <c r="V93" i="5"/>
  <c r="W93" i="5"/>
  <c r="Y93" i="5"/>
  <c r="AA93" i="5" s="1"/>
  <c r="V94" i="5"/>
  <c r="W94" i="5"/>
  <c r="Y94" i="5"/>
  <c r="AA94" i="5" s="1"/>
  <c r="V95" i="5"/>
  <c r="W95" i="5"/>
  <c r="Y95" i="5"/>
  <c r="AA95" i="5" s="1"/>
  <c r="W77" i="5"/>
  <c r="Y77" i="5"/>
  <c r="AA77" i="5"/>
  <c r="W78" i="5"/>
  <c r="Y78" i="5" s="1"/>
  <c r="AA78" i="5" s="1"/>
  <c r="W79" i="5"/>
  <c r="Y79" i="5" s="1"/>
  <c r="AA79" i="5" s="1"/>
  <c r="V80" i="5"/>
  <c r="W80" i="5"/>
  <c r="Y80" i="5" s="1"/>
  <c r="AA80" i="5" s="1"/>
  <c r="V81" i="5"/>
  <c r="W81" i="5"/>
  <c r="Y81" i="5" s="1"/>
  <c r="AA81" i="5" s="1"/>
  <c r="V82" i="5"/>
  <c r="W82" i="5"/>
  <c r="Y82" i="5" s="1"/>
  <c r="AA82" i="5" s="1"/>
  <c r="V83" i="5"/>
  <c r="W83" i="5"/>
  <c r="Y83" i="5" s="1"/>
  <c r="AA83" i="5" s="1"/>
  <c r="I137" i="5"/>
  <c r="K137" i="5"/>
  <c r="M137" i="5" s="1"/>
  <c r="I138" i="5"/>
  <c r="K138" i="5"/>
  <c r="M138" i="5"/>
  <c r="I139" i="5"/>
  <c r="K139" i="5" s="1"/>
  <c r="M139" i="5" s="1"/>
  <c r="H140" i="5"/>
  <c r="I140" i="5"/>
  <c r="K140" i="5" s="1"/>
  <c r="M140" i="5" s="1"/>
  <c r="H141" i="5"/>
  <c r="I141" i="5"/>
  <c r="K141" i="5" s="1"/>
  <c r="M141" i="5" s="1"/>
  <c r="H142" i="5"/>
  <c r="I142" i="5"/>
  <c r="K142" i="5" s="1"/>
  <c r="M142" i="5" s="1"/>
  <c r="H143" i="5"/>
  <c r="I143" i="5"/>
  <c r="K143" i="5" s="1"/>
  <c r="M143" i="5" s="1"/>
  <c r="I125" i="5"/>
  <c r="K125" i="5" s="1"/>
  <c r="M125" i="5" s="1"/>
  <c r="I126" i="5"/>
  <c r="K126" i="5"/>
  <c r="M126" i="5" s="1"/>
  <c r="I127" i="5"/>
  <c r="K127" i="5"/>
  <c r="M127" i="5"/>
  <c r="H128" i="5"/>
  <c r="I128" i="5"/>
  <c r="K128" i="5"/>
  <c r="M128" i="5"/>
  <c r="H129" i="5"/>
  <c r="I129" i="5"/>
  <c r="K129" i="5"/>
  <c r="M129" i="5"/>
  <c r="H130" i="5"/>
  <c r="I130" i="5"/>
  <c r="K130" i="5"/>
  <c r="M130" i="5"/>
  <c r="H131" i="5"/>
  <c r="I131" i="5"/>
  <c r="K131" i="5"/>
  <c r="M131" i="5"/>
  <c r="I113" i="5"/>
  <c r="K113" i="5"/>
  <c r="M113" i="5"/>
  <c r="I114" i="5"/>
  <c r="K114" i="5" s="1"/>
  <c r="M114" i="5" s="1"/>
  <c r="I115" i="5"/>
  <c r="K115" i="5"/>
  <c r="M115" i="5" s="1"/>
  <c r="H116" i="5"/>
  <c r="I116" i="5"/>
  <c r="K116" i="5"/>
  <c r="M116" i="5" s="1"/>
  <c r="H117" i="5"/>
  <c r="I117" i="5"/>
  <c r="K117" i="5"/>
  <c r="M117" i="5" s="1"/>
  <c r="H118" i="5"/>
  <c r="I118" i="5"/>
  <c r="K118" i="5"/>
  <c r="M118" i="5" s="1"/>
  <c r="H119" i="5"/>
  <c r="I119" i="5"/>
  <c r="K119" i="5"/>
  <c r="M119" i="5" s="1"/>
  <c r="I101" i="5"/>
  <c r="K101" i="5"/>
  <c r="M101" i="5"/>
  <c r="I102" i="5"/>
  <c r="K102" i="5"/>
  <c r="M102" i="5"/>
  <c r="I103" i="5"/>
  <c r="K103" i="5" s="1"/>
  <c r="M103" i="5" s="1"/>
  <c r="H104" i="5"/>
  <c r="I104" i="5"/>
  <c r="K104" i="5" s="1"/>
  <c r="M104" i="5" s="1"/>
  <c r="H105" i="5"/>
  <c r="I105" i="5"/>
  <c r="K105" i="5" s="1"/>
  <c r="M105" i="5" s="1"/>
  <c r="H106" i="5"/>
  <c r="I106" i="5"/>
  <c r="K106" i="5" s="1"/>
  <c r="M106" i="5" s="1"/>
  <c r="H107" i="5"/>
  <c r="I107" i="5"/>
  <c r="K107" i="5" s="1"/>
  <c r="M107" i="5" s="1"/>
  <c r="H92" i="5"/>
  <c r="I92" i="5"/>
  <c r="K92" i="5" s="1"/>
  <c r="M92" i="5" s="1"/>
  <c r="H93" i="5"/>
  <c r="I93" i="5"/>
  <c r="K93" i="5" s="1"/>
  <c r="M93" i="5" s="1"/>
  <c r="H94" i="5"/>
  <c r="I94" i="5"/>
  <c r="K94" i="5" s="1"/>
  <c r="M94" i="5" s="1"/>
  <c r="H95" i="5"/>
  <c r="I95" i="5"/>
  <c r="K95" i="5" s="1"/>
  <c r="M95" i="5" s="1"/>
  <c r="I80" i="5"/>
  <c r="K80" i="5"/>
  <c r="M80" i="5" s="1"/>
  <c r="I81" i="5"/>
  <c r="K81" i="5"/>
  <c r="M81" i="5"/>
  <c r="I82" i="5"/>
  <c r="K82" i="5"/>
  <c r="M82" i="5"/>
  <c r="I83" i="5"/>
  <c r="K83" i="5" s="1"/>
  <c r="M83" i="5" s="1"/>
  <c r="V68" i="5"/>
  <c r="W68" i="5"/>
  <c r="Y68" i="5" s="1"/>
  <c r="AA68" i="5" s="1"/>
  <c r="V69" i="5"/>
  <c r="W69" i="5"/>
  <c r="Y69" i="5" s="1"/>
  <c r="AA69" i="5" s="1"/>
  <c r="V70" i="5"/>
  <c r="W70" i="5"/>
  <c r="Y70" i="5" s="1"/>
  <c r="AA70" i="5" s="1"/>
  <c r="V71" i="5"/>
  <c r="W71" i="5"/>
  <c r="Y71" i="5" s="1"/>
  <c r="AA71" i="5" s="1"/>
  <c r="V56" i="5"/>
  <c r="W56" i="5"/>
  <c r="Y56" i="5" s="1"/>
  <c r="AA56" i="5" s="1"/>
  <c r="V57" i="5"/>
  <c r="W57" i="5"/>
  <c r="Y57" i="5" s="1"/>
  <c r="AA57" i="5" s="1"/>
  <c r="V58" i="5"/>
  <c r="W58" i="5"/>
  <c r="Y58" i="5" s="1"/>
  <c r="AA58" i="5" s="1"/>
  <c r="V59" i="5"/>
  <c r="W59" i="5"/>
  <c r="Y59" i="5" s="1"/>
  <c r="AA59" i="5" s="1"/>
  <c r="V44" i="5"/>
  <c r="W44" i="5"/>
  <c r="Y44" i="5" s="1"/>
  <c r="AA44" i="5" s="1"/>
  <c r="V45" i="5"/>
  <c r="W45" i="5"/>
  <c r="Y45" i="5" s="1"/>
  <c r="AA45" i="5" s="1"/>
  <c r="V46" i="5"/>
  <c r="W46" i="5"/>
  <c r="Y46" i="5" s="1"/>
  <c r="AA46" i="5" s="1"/>
  <c r="V47" i="5"/>
  <c r="W47" i="5"/>
  <c r="Y47" i="5" s="1"/>
  <c r="AA47" i="5" s="1"/>
  <c r="V32" i="5"/>
  <c r="W32" i="5"/>
  <c r="Y32" i="5" s="1"/>
  <c r="AA32" i="5" s="1"/>
  <c r="V33" i="5"/>
  <c r="W33" i="5"/>
  <c r="Y33" i="5" s="1"/>
  <c r="AA33" i="5" s="1"/>
  <c r="V34" i="5"/>
  <c r="W34" i="5"/>
  <c r="Y34" i="5" s="1"/>
  <c r="AA34" i="5" s="1"/>
  <c r="V35" i="5"/>
  <c r="W35" i="5"/>
  <c r="Y35" i="5" s="1"/>
  <c r="AA35" i="5" s="1"/>
  <c r="V20" i="5"/>
  <c r="W20" i="5"/>
  <c r="Y20" i="5" s="1"/>
  <c r="AA20" i="5" s="1"/>
  <c r="V21" i="5"/>
  <c r="W21" i="5"/>
  <c r="Y21" i="5" s="1"/>
  <c r="AA21" i="5" s="1"/>
  <c r="V22" i="5"/>
  <c r="W22" i="5"/>
  <c r="Y22" i="5" s="1"/>
  <c r="AA22" i="5" s="1"/>
  <c r="V23" i="5"/>
  <c r="W23" i="5"/>
  <c r="Y23" i="5" s="1"/>
  <c r="AA23" i="5" s="1"/>
  <c r="V8" i="5"/>
  <c r="W8" i="5"/>
  <c r="Y8" i="5" s="1"/>
  <c r="AA8" i="5" s="1"/>
  <c r="V9" i="5"/>
  <c r="W9" i="5"/>
  <c r="Y9" i="5" s="1"/>
  <c r="AA9" i="5" s="1"/>
  <c r="V10" i="5"/>
  <c r="W10" i="5"/>
  <c r="Y10" i="5" s="1"/>
  <c r="AA10" i="5" s="1"/>
  <c r="V11" i="5"/>
  <c r="W11" i="5"/>
  <c r="Y11" i="5" s="1"/>
  <c r="AA11" i="5" s="1"/>
  <c r="I68" i="5"/>
  <c r="K68" i="5"/>
  <c r="M68" i="5" s="1"/>
  <c r="I69" i="5"/>
  <c r="K69" i="5"/>
  <c r="M69" i="5"/>
  <c r="I70" i="5"/>
  <c r="K70" i="5" s="1"/>
  <c r="M70" i="5" s="1"/>
  <c r="I71" i="5"/>
  <c r="K71" i="5" s="1"/>
  <c r="M71" i="5" s="1"/>
  <c r="I56" i="5"/>
  <c r="K56" i="5"/>
  <c r="M56" i="5" s="1"/>
  <c r="I57" i="5"/>
  <c r="K57" i="5"/>
  <c r="M57" i="5"/>
  <c r="I58" i="5"/>
  <c r="K58" i="5" s="1"/>
  <c r="M58" i="5" s="1"/>
  <c r="I59" i="5"/>
  <c r="K59" i="5" s="1"/>
  <c r="M59" i="5" s="1"/>
  <c r="I44" i="5"/>
  <c r="K44" i="5"/>
  <c r="M44" i="5" s="1"/>
  <c r="I45" i="5"/>
  <c r="K45" i="5"/>
  <c r="M45" i="5"/>
  <c r="I46" i="5"/>
  <c r="K46" i="5" s="1"/>
  <c r="M46" i="5" s="1"/>
  <c r="I47" i="5"/>
  <c r="K47" i="5" s="1"/>
  <c r="M47" i="5" s="1"/>
  <c r="I32" i="5"/>
  <c r="K32" i="5"/>
  <c r="M32" i="5" s="1"/>
  <c r="I33" i="5"/>
  <c r="K33" i="5"/>
  <c r="M33" i="5"/>
  <c r="I34" i="5"/>
  <c r="K34" i="5" s="1"/>
  <c r="M34" i="5" s="1"/>
  <c r="I35" i="5"/>
  <c r="K35" i="5" s="1"/>
  <c r="M35" i="5" s="1"/>
  <c r="I20" i="5"/>
  <c r="K20" i="5"/>
  <c r="M20" i="5" s="1"/>
  <c r="I21" i="5"/>
  <c r="K21" i="5"/>
  <c r="M21" i="5"/>
  <c r="I22" i="5"/>
  <c r="K22" i="5" s="1"/>
  <c r="M22" i="5" s="1"/>
  <c r="I23" i="5"/>
  <c r="K23" i="5" s="1"/>
  <c r="M23" i="5" s="1"/>
  <c r="I8" i="5"/>
  <c r="K8" i="5"/>
  <c r="M8" i="5" s="1"/>
  <c r="I9" i="5"/>
  <c r="K9" i="5"/>
  <c r="M9" i="5"/>
  <c r="I10" i="5"/>
  <c r="K10" i="5" s="1"/>
  <c r="M10" i="5" s="1"/>
  <c r="I11" i="5"/>
  <c r="K11" i="5" s="1"/>
  <c r="M11" i="5" s="1"/>
  <c r="J8" i="5"/>
  <c r="L8" i="5"/>
  <c r="J10" i="5"/>
  <c r="L10" i="5" s="1"/>
  <c r="BB29" i="5"/>
  <c r="BB30" i="5"/>
  <c r="BB31" i="5"/>
  <c r="BB33" i="5"/>
  <c r="BB34" i="5"/>
  <c r="BB35" i="5"/>
  <c r="BB17" i="5"/>
  <c r="BB18" i="5"/>
  <c r="BB19" i="5"/>
  <c r="BB20" i="5"/>
  <c r="BB21" i="5"/>
  <c r="BB22" i="5"/>
  <c r="BB23" i="5"/>
  <c r="BB5" i="5"/>
  <c r="BB6" i="5"/>
  <c r="BB7" i="5"/>
  <c r="BB8" i="5"/>
  <c r="BB9" i="5"/>
  <c r="BB10" i="5"/>
  <c r="BB11" i="5"/>
  <c r="AN41" i="5"/>
  <c r="AN42" i="5"/>
  <c r="AN43" i="5"/>
  <c r="AN45" i="5"/>
  <c r="AN46" i="5"/>
  <c r="AN47" i="5"/>
  <c r="AL29" i="5"/>
  <c r="AN29" i="5"/>
  <c r="AL30" i="5"/>
  <c r="AN30" i="5" s="1"/>
  <c r="AL31" i="5"/>
  <c r="AN31" i="5"/>
  <c r="AL32" i="5"/>
  <c r="AN32" i="5" s="1"/>
  <c r="AL33" i="5"/>
  <c r="AN33" i="5"/>
  <c r="AL34" i="5"/>
  <c r="AN34" i="5" s="1"/>
  <c r="AL35" i="5"/>
  <c r="AN35" i="5"/>
  <c r="AL17" i="5"/>
  <c r="AN17" i="5" s="1"/>
  <c r="AL18" i="5"/>
  <c r="AN18" i="5"/>
  <c r="AL19" i="5"/>
  <c r="AN19" i="5" s="1"/>
  <c r="AL20" i="5"/>
  <c r="AN20" i="5"/>
  <c r="AL21" i="5"/>
  <c r="AN21" i="5" s="1"/>
  <c r="AL22" i="5"/>
  <c r="AN22" i="5"/>
  <c r="AL23" i="5"/>
  <c r="AN23" i="5" s="1"/>
  <c r="AL5" i="5"/>
  <c r="AN5" i="5"/>
  <c r="AL6" i="5"/>
  <c r="AN6" i="5" s="1"/>
  <c r="AL7" i="5"/>
  <c r="AN7" i="5"/>
  <c r="AL8" i="5"/>
  <c r="AN8" i="5" s="1"/>
  <c r="AL9" i="5"/>
  <c r="AN9" i="5"/>
  <c r="AL10" i="5"/>
  <c r="AN10" i="5" s="1"/>
  <c r="AL11" i="5"/>
  <c r="AN11" i="5"/>
  <c r="X137" i="5"/>
  <c r="Z137" i="5" s="1"/>
  <c r="X138" i="5"/>
  <c r="Z138" i="5"/>
  <c r="X139" i="5"/>
  <c r="Z139" i="5" s="1"/>
  <c r="X140" i="5"/>
  <c r="Z140" i="5"/>
  <c r="X141" i="5"/>
  <c r="Z141" i="5" s="1"/>
  <c r="X142" i="5"/>
  <c r="Z142" i="5"/>
  <c r="X143" i="5"/>
  <c r="Z143" i="5" s="1"/>
  <c r="X125" i="5"/>
  <c r="Z125" i="5"/>
  <c r="X126" i="5"/>
  <c r="Z126" i="5" s="1"/>
  <c r="X127" i="5"/>
  <c r="Z127" i="5"/>
  <c r="X128" i="5"/>
  <c r="Z128" i="5" s="1"/>
  <c r="X129" i="5"/>
  <c r="Z129" i="5"/>
  <c r="X130" i="5"/>
  <c r="Z130" i="5" s="1"/>
  <c r="X131" i="5"/>
  <c r="Z131" i="5"/>
  <c r="X113" i="5"/>
  <c r="Z113" i="5" s="1"/>
  <c r="X114" i="5"/>
  <c r="Z114" i="5"/>
  <c r="X115" i="5"/>
  <c r="Z115" i="5" s="1"/>
  <c r="X116" i="5"/>
  <c r="Z116" i="5"/>
  <c r="X117" i="5"/>
  <c r="Z117" i="5" s="1"/>
  <c r="X118" i="5"/>
  <c r="Z118" i="5"/>
  <c r="X119" i="5"/>
  <c r="Z119" i="5" s="1"/>
  <c r="X101" i="5"/>
  <c r="Z101" i="5"/>
  <c r="X102" i="5"/>
  <c r="Z102" i="5" s="1"/>
  <c r="X103" i="5"/>
  <c r="Z103" i="5"/>
  <c r="X104" i="5"/>
  <c r="Z104" i="5" s="1"/>
  <c r="X105" i="5"/>
  <c r="Z105" i="5"/>
  <c r="X106" i="5"/>
  <c r="Z106" i="5" s="1"/>
  <c r="X107" i="5"/>
  <c r="Z107" i="5"/>
  <c r="X89" i="5"/>
  <c r="Z89" i="5" s="1"/>
  <c r="X90" i="5"/>
  <c r="Z90" i="5"/>
  <c r="X91" i="5"/>
  <c r="Z91" i="5" s="1"/>
  <c r="X92" i="5"/>
  <c r="Z92" i="5"/>
  <c r="X93" i="5"/>
  <c r="Z93" i="5" s="1"/>
  <c r="X94" i="5"/>
  <c r="Z94" i="5"/>
  <c r="X95" i="5"/>
  <c r="Z95" i="5" s="1"/>
  <c r="X77" i="5"/>
  <c r="Z77" i="5"/>
  <c r="X78" i="5"/>
  <c r="Z78" i="5" s="1"/>
  <c r="X79" i="5"/>
  <c r="Z79" i="5"/>
  <c r="X80" i="5"/>
  <c r="Z80" i="5" s="1"/>
  <c r="X81" i="5"/>
  <c r="Z81" i="5"/>
  <c r="X82" i="5"/>
  <c r="Z82" i="5" s="1"/>
  <c r="X83" i="5"/>
  <c r="Z83" i="5"/>
  <c r="J137" i="5"/>
  <c r="L137" i="5" s="1"/>
  <c r="J138" i="5"/>
  <c r="L138" i="5"/>
  <c r="J139" i="5"/>
  <c r="L139" i="5" s="1"/>
  <c r="J140" i="5"/>
  <c r="L140" i="5"/>
  <c r="J141" i="5"/>
  <c r="L141" i="5" s="1"/>
  <c r="J142" i="5"/>
  <c r="L142" i="5"/>
  <c r="J143" i="5"/>
  <c r="L143" i="5" s="1"/>
  <c r="J125" i="5"/>
  <c r="L125" i="5"/>
  <c r="J126" i="5"/>
  <c r="L126" i="5" s="1"/>
  <c r="J127" i="5"/>
  <c r="L127" i="5"/>
  <c r="J128" i="5"/>
  <c r="L128" i="5" s="1"/>
  <c r="J129" i="5"/>
  <c r="L129" i="5"/>
  <c r="J130" i="5"/>
  <c r="L130" i="5" s="1"/>
  <c r="J131" i="5"/>
  <c r="L131" i="5"/>
  <c r="J113" i="5"/>
  <c r="L113" i="5" s="1"/>
  <c r="J114" i="5"/>
  <c r="L114" i="5"/>
  <c r="J115" i="5"/>
  <c r="L115" i="5" s="1"/>
  <c r="J116" i="5"/>
  <c r="L116" i="5"/>
  <c r="J117" i="5"/>
  <c r="L117" i="5" s="1"/>
  <c r="J118" i="5"/>
  <c r="L118" i="5"/>
  <c r="J119" i="5"/>
  <c r="L119" i="5" s="1"/>
  <c r="J101" i="5"/>
  <c r="L101" i="5"/>
  <c r="J102" i="5"/>
  <c r="L102" i="5" s="1"/>
  <c r="J103" i="5"/>
  <c r="L103" i="5"/>
  <c r="J104" i="5"/>
  <c r="L104" i="5" s="1"/>
  <c r="J105" i="5"/>
  <c r="L105" i="5"/>
  <c r="J106" i="5"/>
  <c r="L106" i="5" s="1"/>
  <c r="J107" i="5"/>
  <c r="L107" i="5"/>
  <c r="J92" i="5"/>
  <c r="L92" i="5" s="1"/>
  <c r="J93" i="5"/>
  <c r="L93" i="5"/>
  <c r="J94" i="5"/>
  <c r="L94" i="5" s="1"/>
  <c r="J95" i="5"/>
  <c r="L95" i="5"/>
  <c r="J80" i="5"/>
  <c r="L80" i="5" s="1"/>
  <c r="J81" i="5"/>
  <c r="L81" i="5"/>
  <c r="J82" i="5"/>
  <c r="L82" i="5" s="1"/>
  <c r="J83" i="5"/>
  <c r="L83" i="5"/>
  <c r="X68" i="5"/>
  <c r="Z68" i="5" s="1"/>
  <c r="X69" i="5"/>
  <c r="Z69" i="5"/>
  <c r="X70" i="5"/>
  <c r="Z70" i="5" s="1"/>
  <c r="X71" i="5"/>
  <c r="Z71" i="5"/>
  <c r="X56" i="5"/>
  <c r="Z56" i="5" s="1"/>
  <c r="X57" i="5"/>
  <c r="Z57" i="5"/>
  <c r="X58" i="5"/>
  <c r="Z58" i="5" s="1"/>
  <c r="X59" i="5"/>
  <c r="Z59" i="5"/>
  <c r="X44" i="5"/>
  <c r="Z44" i="5" s="1"/>
  <c r="X45" i="5"/>
  <c r="Z45" i="5"/>
  <c r="X46" i="5"/>
  <c r="Z46" i="5" s="1"/>
  <c r="X47" i="5"/>
  <c r="Z47" i="5"/>
  <c r="X32" i="5"/>
  <c r="Z32" i="5" s="1"/>
  <c r="X33" i="5"/>
  <c r="Z33" i="5"/>
  <c r="X34" i="5"/>
  <c r="Z34" i="5" s="1"/>
  <c r="X35" i="5"/>
  <c r="Z35" i="5"/>
  <c r="X20" i="5"/>
  <c r="Z20" i="5" s="1"/>
  <c r="X21" i="5"/>
  <c r="Z21" i="5"/>
  <c r="X22" i="5"/>
  <c r="Z22" i="5" s="1"/>
  <c r="X23" i="5"/>
  <c r="Z23" i="5"/>
  <c r="X8" i="5"/>
  <c r="Z8" i="5" s="1"/>
  <c r="J68" i="5"/>
  <c r="L68" i="5" s="1"/>
  <c r="J69" i="5"/>
  <c r="L69" i="5"/>
  <c r="J70" i="5"/>
  <c r="L70" i="5" s="1"/>
  <c r="J56" i="5"/>
  <c r="L56" i="5" s="1"/>
  <c r="J57" i="5"/>
  <c r="L57" i="5"/>
  <c r="J58" i="5"/>
  <c r="L58" i="5" s="1"/>
  <c r="J44" i="5"/>
  <c r="L44" i="5" s="1"/>
  <c r="J45" i="5"/>
  <c r="L45" i="5"/>
  <c r="J46" i="5"/>
  <c r="L46" i="5" s="1"/>
  <c r="J32" i="5"/>
  <c r="L32" i="5" s="1"/>
  <c r="J33" i="5"/>
  <c r="L33" i="5"/>
  <c r="J34" i="5"/>
  <c r="L34" i="5" s="1"/>
  <c r="J20" i="5"/>
  <c r="L20" i="5" s="1"/>
  <c r="J21" i="5"/>
  <c r="L21" i="5"/>
  <c r="J22" i="5"/>
  <c r="L22" i="5" s="1"/>
  <c r="D99" i="3"/>
  <c r="D88" i="3"/>
  <c r="D77" i="3"/>
  <c r="D64" i="3"/>
  <c r="AX35" i="5"/>
  <c r="AR35" i="5"/>
  <c r="AX34" i="5"/>
  <c r="AR34" i="5"/>
  <c r="AX33" i="5"/>
  <c r="AR33" i="5"/>
  <c r="AX32" i="5"/>
  <c r="AR32" i="5"/>
  <c r="AR31" i="5"/>
  <c r="AR30" i="5"/>
  <c r="AR29" i="5"/>
  <c r="AR28" i="5"/>
  <c r="AR27" i="5"/>
  <c r="AX23" i="5"/>
  <c r="AR23" i="5"/>
  <c r="AX22" i="5"/>
  <c r="AR22" i="5"/>
  <c r="AX21" i="5"/>
  <c r="AR21" i="5"/>
  <c r="AX20" i="5"/>
  <c r="AR20" i="5"/>
  <c r="AR19" i="5"/>
  <c r="AR18" i="5"/>
  <c r="AR17" i="5"/>
  <c r="AR16" i="5"/>
  <c r="AR15" i="5"/>
  <c r="AR11" i="5"/>
  <c r="AR10" i="5"/>
  <c r="AR9" i="5"/>
  <c r="AR8" i="5"/>
  <c r="AR7" i="5"/>
  <c r="AR6" i="5"/>
  <c r="AR5" i="5"/>
  <c r="AR4" i="5"/>
  <c r="AR3" i="5"/>
  <c r="AD47" i="5"/>
  <c r="AD46" i="5"/>
  <c r="AD45" i="5"/>
  <c r="AD44" i="5"/>
  <c r="AD43" i="5"/>
  <c r="AD42" i="5"/>
  <c r="AD41" i="5"/>
  <c r="AD40" i="5"/>
  <c r="AD39" i="5"/>
  <c r="AD35" i="5"/>
  <c r="AD34" i="5"/>
  <c r="AD33" i="5"/>
  <c r="AD32" i="5"/>
  <c r="AD31" i="5"/>
  <c r="AD30" i="5"/>
  <c r="AD29" i="5"/>
  <c r="AD28" i="5"/>
  <c r="AD27" i="5"/>
  <c r="AD23" i="5"/>
  <c r="AD22" i="5"/>
  <c r="AD21" i="5"/>
  <c r="AD20" i="5"/>
  <c r="AD19" i="5"/>
  <c r="AD18" i="5"/>
  <c r="AD17" i="5"/>
  <c r="AD16" i="5"/>
  <c r="AD15" i="5"/>
  <c r="AD11" i="5"/>
  <c r="AD10" i="5"/>
  <c r="AD9" i="5"/>
  <c r="AD8" i="5"/>
  <c r="AD7" i="5"/>
  <c r="AD6" i="5"/>
  <c r="AD5" i="5"/>
  <c r="AD4" i="5"/>
  <c r="AD3" i="5"/>
  <c r="P143" i="5"/>
  <c r="P142" i="5"/>
  <c r="P141" i="5"/>
  <c r="P140" i="5"/>
  <c r="P139" i="5"/>
  <c r="P138" i="5"/>
  <c r="P137" i="5"/>
  <c r="P136" i="5"/>
  <c r="P135" i="5"/>
  <c r="P131" i="5"/>
  <c r="P130" i="5"/>
  <c r="P129" i="5"/>
  <c r="P128" i="5"/>
  <c r="P127" i="5"/>
  <c r="P126" i="5"/>
  <c r="P125" i="5"/>
  <c r="P124" i="5"/>
  <c r="P123" i="5"/>
  <c r="P119" i="5"/>
  <c r="P118" i="5"/>
  <c r="P117" i="5"/>
  <c r="P116" i="5"/>
  <c r="P115" i="5"/>
  <c r="P114" i="5"/>
  <c r="P113" i="5"/>
  <c r="P112" i="5"/>
  <c r="P111" i="5"/>
  <c r="P107" i="5"/>
  <c r="P106" i="5"/>
  <c r="P105" i="5"/>
  <c r="P104" i="5"/>
  <c r="P103" i="5"/>
  <c r="P102" i="5"/>
  <c r="P101" i="5"/>
  <c r="P100" i="5"/>
  <c r="P99" i="5"/>
  <c r="P95" i="5"/>
  <c r="P94" i="5"/>
  <c r="P93" i="5"/>
  <c r="P92" i="5"/>
  <c r="P91" i="5"/>
  <c r="P90" i="5"/>
  <c r="P89" i="5"/>
  <c r="P88" i="5"/>
  <c r="P87" i="5"/>
  <c r="P83" i="5"/>
  <c r="P82" i="5"/>
  <c r="P81" i="5"/>
  <c r="P80" i="5"/>
  <c r="P79" i="5"/>
  <c r="P78" i="5"/>
  <c r="P77" i="5"/>
  <c r="P76" i="5"/>
  <c r="P75" i="5"/>
  <c r="P71" i="5"/>
  <c r="P70" i="5"/>
  <c r="P69" i="5"/>
  <c r="P68" i="5"/>
  <c r="P67" i="5"/>
  <c r="P66" i="5"/>
  <c r="P65" i="5"/>
  <c r="P64" i="5"/>
  <c r="P63" i="5"/>
  <c r="P59" i="5"/>
  <c r="P58" i="5"/>
  <c r="P57" i="5"/>
  <c r="P56" i="5"/>
  <c r="P55" i="5"/>
  <c r="P54" i="5"/>
  <c r="P53" i="5"/>
  <c r="P52" i="5"/>
  <c r="P51" i="5"/>
  <c r="P47" i="5"/>
  <c r="P46" i="5"/>
  <c r="P45" i="5"/>
  <c r="P44" i="5"/>
  <c r="P43" i="5"/>
  <c r="P42" i="5"/>
  <c r="P41" i="5"/>
  <c r="P40" i="5"/>
  <c r="P39" i="5"/>
  <c r="P35" i="5"/>
  <c r="P34" i="5"/>
  <c r="P33" i="5"/>
  <c r="P32" i="5"/>
  <c r="P31" i="5"/>
  <c r="P30" i="5"/>
  <c r="P29" i="5"/>
  <c r="P28" i="5"/>
  <c r="P27" i="5"/>
  <c r="P23" i="5"/>
  <c r="P22" i="5"/>
  <c r="P21" i="5"/>
  <c r="P20" i="5"/>
  <c r="P19" i="5"/>
  <c r="P18" i="5"/>
  <c r="P17" i="5"/>
  <c r="P16" i="5"/>
  <c r="P15" i="5"/>
  <c r="P11" i="5"/>
  <c r="P10" i="5"/>
  <c r="P9" i="5"/>
  <c r="P8" i="5"/>
  <c r="P7" i="5"/>
  <c r="P6" i="5"/>
  <c r="P5" i="5"/>
  <c r="P4" i="5"/>
  <c r="P3" i="5"/>
  <c r="B143" i="5"/>
  <c r="B142" i="5"/>
  <c r="B141" i="5"/>
  <c r="B140" i="5"/>
  <c r="B139" i="5"/>
  <c r="B138" i="5"/>
  <c r="B137" i="5"/>
  <c r="B136" i="5"/>
  <c r="B135" i="5"/>
  <c r="B131" i="5"/>
  <c r="B130" i="5"/>
  <c r="B129" i="5"/>
  <c r="B128" i="5"/>
  <c r="B127" i="5"/>
  <c r="B126" i="5"/>
  <c r="B125" i="5"/>
  <c r="B124" i="5"/>
  <c r="B123" i="5"/>
  <c r="B119" i="5"/>
  <c r="B118" i="5"/>
  <c r="B117" i="5"/>
  <c r="B116" i="5"/>
  <c r="B115" i="5"/>
  <c r="B114" i="5"/>
  <c r="B113" i="5"/>
  <c r="B112" i="5"/>
  <c r="B111" i="5"/>
  <c r="B107" i="5"/>
  <c r="B106" i="5"/>
  <c r="B105" i="5"/>
  <c r="B104" i="5"/>
  <c r="B103" i="5"/>
  <c r="B102" i="5"/>
  <c r="B101" i="5"/>
  <c r="B100" i="5"/>
  <c r="B99" i="5"/>
  <c r="B95" i="5"/>
  <c r="B94" i="5"/>
  <c r="B93" i="5"/>
  <c r="B92" i="5"/>
  <c r="B91" i="5"/>
  <c r="B90" i="5"/>
  <c r="B89" i="5"/>
  <c r="B88" i="5"/>
  <c r="B87" i="5"/>
  <c r="H83" i="5"/>
  <c r="B83" i="5"/>
  <c r="H82" i="5"/>
  <c r="B82" i="5"/>
  <c r="H81" i="5"/>
  <c r="B81" i="5"/>
  <c r="H80" i="5"/>
  <c r="B80" i="5"/>
  <c r="B79" i="5"/>
  <c r="B78" i="5"/>
  <c r="B77" i="5"/>
  <c r="B76" i="5"/>
  <c r="B75" i="5"/>
  <c r="H71" i="5"/>
  <c r="B71" i="5"/>
  <c r="H70" i="5"/>
  <c r="B70" i="5"/>
  <c r="H69" i="5"/>
  <c r="B69" i="5"/>
  <c r="H68" i="5"/>
  <c r="B68" i="5"/>
  <c r="B67" i="5"/>
  <c r="B66" i="5"/>
  <c r="B65" i="5"/>
  <c r="B64" i="5"/>
  <c r="B63" i="5"/>
  <c r="H59" i="5"/>
  <c r="B59" i="5"/>
  <c r="H58" i="5"/>
  <c r="B58" i="5"/>
  <c r="H57" i="5"/>
  <c r="B57" i="5"/>
  <c r="H56" i="5"/>
  <c r="B56" i="5"/>
  <c r="B55" i="5"/>
  <c r="B54" i="5"/>
  <c r="B53" i="5"/>
  <c r="B52" i="5"/>
  <c r="B51" i="5"/>
  <c r="H47" i="5"/>
  <c r="B47" i="5"/>
  <c r="H46" i="5"/>
  <c r="B46" i="5"/>
  <c r="H45" i="5"/>
  <c r="B45" i="5"/>
  <c r="H44" i="5"/>
  <c r="B44" i="5"/>
  <c r="B43" i="5"/>
  <c r="B42" i="5"/>
  <c r="B41" i="5"/>
  <c r="B40" i="5"/>
  <c r="B39" i="5"/>
  <c r="H35" i="5"/>
  <c r="B35" i="5"/>
  <c r="H34" i="5"/>
  <c r="B34" i="5"/>
  <c r="H33" i="5"/>
  <c r="B33" i="5"/>
  <c r="H32" i="5"/>
  <c r="B32" i="5"/>
  <c r="B31" i="5"/>
  <c r="B30" i="5"/>
  <c r="B29" i="5"/>
  <c r="B28" i="5"/>
  <c r="B27" i="5"/>
  <c r="H23" i="5"/>
  <c r="B23" i="5"/>
  <c r="H22" i="5"/>
  <c r="B22" i="5"/>
  <c r="H21" i="5"/>
  <c r="B21" i="5"/>
  <c r="H20" i="5"/>
  <c r="B20" i="5"/>
  <c r="B19" i="5"/>
  <c r="B18" i="5"/>
  <c r="B17" i="5"/>
  <c r="B16" i="5"/>
  <c r="B15" i="5"/>
  <c r="H11" i="5"/>
  <c r="H10" i="5"/>
  <c r="H9" i="5"/>
  <c r="H8" i="5"/>
  <c r="D43" i="3"/>
  <c r="B11" i="5"/>
  <c r="B10" i="5"/>
  <c r="B9" i="5"/>
  <c r="B8" i="5"/>
  <c r="B7" i="5"/>
  <c r="B6" i="5"/>
  <c r="B5" i="5"/>
  <c r="B4" i="5"/>
  <c r="B3" i="5"/>
  <c r="G99" i="3"/>
  <c r="G98" i="3"/>
  <c r="G97" i="3"/>
  <c r="G88" i="3"/>
  <c r="G87" i="3"/>
  <c r="G86" i="3"/>
  <c r="G77" i="3"/>
  <c r="G76" i="3"/>
  <c r="G75" i="3"/>
  <c r="G64" i="3"/>
  <c r="G63" i="3"/>
  <c r="G62" i="3"/>
  <c r="G53" i="3"/>
  <c r="G52" i="3"/>
  <c r="G51" i="3"/>
  <c r="G42" i="3"/>
  <c r="G41" i="3"/>
  <c r="G40" i="3"/>
  <c r="G29" i="3"/>
  <c r="G28" i="3"/>
  <c r="G27" i="3"/>
  <c r="G18" i="3"/>
  <c r="G17" i="3"/>
  <c r="G16" i="3"/>
  <c r="G7" i="3"/>
  <c r="G6" i="3"/>
  <c r="G5" i="3"/>
  <c r="G103" i="3"/>
  <c r="G102" i="3"/>
  <c r="G101" i="3"/>
  <c r="D100" i="3"/>
  <c r="G92" i="3"/>
  <c r="G91" i="3"/>
  <c r="G90" i="3"/>
  <c r="D89" i="3"/>
  <c r="G81" i="3"/>
  <c r="G80" i="3"/>
  <c r="G79" i="3"/>
  <c r="D78" i="3"/>
  <c r="G68" i="3"/>
  <c r="G67" i="3"/>
  <c r="G66" i="3"/>
  <c r="D65" i="3"/>
  <c r="G57" i="3"/>
  <c r="G56" i="3"/>
  <c r="G55" i="3"/>
  <c r="D54" i="3"/>
  <c r="G46" i="3"/>
  <c r="G45" i="3"/>
  <c r="G44" i="3"/>
  <c r="G33" i="3"/>
  <c r="G32" i="3"/>
  <c r="G31" i="3"/>
  <c r="D30" i="3"/>
  <c r="AX29" i="5" s="1"/>
  <c r="G22" i="3"/>
  <c r="G21" i="3"/>
  <c r="G20" i="3"/>
  <c r="D19" i="3"/>
  <c r="G11" i="3"/>
  <c r="G10" i="3"/>
  <c r="G9" i="3"/>
  <c r="D8" i="3"/>
  <c r="AJ39" i="5"/>
  <c r="AK39" i="5"/>
  <c r="AX27" i="5"/>
  <c r="AY27" i="5" s="1"/>
  <c r="AJ27" i="5"/>
  <c r="AK27" i="5"/>
  <c r="AJ15" i="5"/>
  <c r="AK15" i="5" s="1"/>
  <c r="AJ3" i="5"/>
  <c r="AK3" i="5"/>
  <c r="V135" i="5"/>
  <c r="W135" i="5" s="1"/>
  <c r="V123" i="5"/>
  <c r="W123" i="5"/>
  <c r="W132" i="5" s="1"/>
  <c r="V111" i="5"/>
  <c r="W111" i="5" s="1"/>
  <c r="V99" i="5"/>
  <c r="W99" i="5"/>
  <c r="V87" i="5"/>
  <c r="W87" i="5" s="1"/>
  <c r="V75" i="5"/>
  <c r="W75" i="5"/>
  <c r="H135" i="5"/>
  <c r="I135" i="5" s="1"/>
  <c r="H123" i="5"/>
  <c r="I123" i="5"/>
  <c r="H75" i="5"/>
  <c r="I75" i="5" s="1"/>
  <c r="H111" i="5"/>
  <c r="I111" i="5"/>
  <c r="I120" i="5" s="1"/>
  <c r="H99" i="5"/>
  <c r="I99" i="5" s="1"/>
  <c r="H87" i="5"/>
  <c r="I87" i="5"/>
  <c r="V63" i="5"/>
  <c r="W63" i="5" s="1"/>
  <c r="V51" i="5"/>
  <c r="W51" i="5"/>
  <c r="V39" i="5"/>
  <c r="W39" i="5" s="1"/>
  <c r="V27" i="5"/>
  <c r="W27" i="5"/>
  <c r="V15" i="5"/>
  <c r="W15" i="5" s="1"/>
  <c r="V3" i="5"/>
  <c r="W3" i="5"/>
  <c r="W12" i="5" s="1"/>
  <c r="H63" i="5"/>
  <c r="I63" i="5" s="1"/>
  <c r="H51" i="5"/>
  <c r="I51" i="5"/>
  <c r="H39" i="5"/>
  <c r="I39" i="5" s="1"/>
  <c r="K39" i="5" s="1"/>
  <c r="H27" i="5"/>
  <c r="I27" i="5"/>
  <c r="H15" i="5"/>
  <c r="I15" i="5" s="1"/>
  <c r="H3" i="5"/>
  <c r="I3" i="5"/>
  <c r="AX16" i="5"/>
  <c r="AY16" i="5" s="1"/>
  <c r="AJ40" i="5"/>
  <c r="AK40" i="5"/>
  <c r="AL40" i="5" s="1"/>
  <c r="AJ28" i="5"/>
  <c r="AK28" i="5" s="1"/>
  <c r="AJ16" i="5"/>
  <c r="AK16" i="5"/>
  <c r="AJ4" i="5"/>
  <c r="AK4" i="5" s="1"/>
  <c r="AK12" i="5" s="1"/>
  <c r="V136" i="5"/>
  <c r="W136" i="5"/>
  <c r="V124" i="5"/>
  <c r="W124" i="5" s="1"/>
  <c r="V112" i="5"/>
  <c r="W112" i="5"/>
  <c r="V100" i="5"/>
  <c r="W100" i="5" s="1"/>
  <c r="V88" i="5"/>
  <c r="W88" i="5"/>
  <c r="Y88" i="5" s="1"/>
  <c r="V76" i="5"/>
  <c r="W76" i="5" s="1"/>
  <c r="H136" i="5"/>
  <c r="I136" i="5"/>
  <c r="H124" i="5"/>
  <c r="I124" i="5" s="1"/>
  <c r="I132" i="5" s="1"/>
  <c r="H76" i="5"/>
  <c r="I76" i="5"/>
  <c r="H112" i="5"/>
  <c r="I112" i="5" s="1"/>
  <c r="H100" i="5"/>
  <c r="I100" i="5"/>
  <c r="H88" i="5"/>
  <c r="I88" i="5" s="1"/>
  <c r="V64" i="5"/>
  <c r="W64" i="5"/>
  <c r="Y64" i="5" s="1"/>
  <c r="V52" i="5"/>
  <c r="W52" i="5" s="1"/>
  <c r="V40" i="5"/>
  <c r="W40" i="5"/>
  <c r="V28" i="5"/>
  <c r="W28" i="5" s="1"/>
  <c r="W36" i="5" s="1"/>
  <c r="V16" i="5"/>
  <c r="W16" i="5"/>
  <c r="V4" i="5"/>
  <c r="W4" i="5" s="1"/>
  <c r="H64" i="5"/>
  <c r="I64" i="5"/>
  <c r="H52" i="5"/>
  <c r="I52" i="5" s="1"/>
  <c r="H40" i="5"/>
  <c r="I40" i="5"/>
  <c r="K40" i="5" s="1"/>
  <c r="H28" i="5"/>
  <c r="I28" i="5" s="1"/>
  <c r="H16" i="5"/>
  <c r="I16" i="5"/>
  <c r="H4" i="5"/>
  <c r="I4" i="5" s="1"/>
  <c r="I12" i="5" s="1"/>
  <c r="AJ43" i="5"/>
  <c r="AX7" i="5"/>
  <c r="AJ31" i="5"/>
  <c r="AJ19" i="5"/>
  <c r="AJ7" i="5"/>
  <c r="V139" i="5"/>
  <c r="V127" i="5"/>
  <c r="V115" i="5"/>
  <c r="V103" i="5"/>
  <c r="V91" i="5"/>
  <c r="V79" i="5"/>
  <c r="H139" i="5"/>
  <c r="H127" i="5"/>
  <c r="H115" i="5"/>
  <c r="H103" i="5"/>
  <c r="H91" i="5"/>
  <c r="I91" i="5"/>
  <c r="H79" i="5"/>
  <c r="I79" i="5" s="1"/>
  <c r="V67" i="5"/>
  <c r="W67" i="5"/>
  <c r="V55" i="5"/>
  <c r="W55" i="5" s="1"/>
  <c r="V43" i="5"/>
  <c r="W43" i="5"/>
  <c r="V31" i="5"/>
  <c r="W31" i="5" s="1"/>
  <c r="Y31" i="5" s="1"/>
  <c r="AA31" i="5" s="1"/>
  <c r="V19" i="5"/>
  <c r="W19" i="5"/>
  <c r="V7" i="5"/>
  <c r="W7" i="5" s="1"/>
  <c r="X7" i="5" s="1"/>
  <c r="H67" i="5"/>
  <c r="I67" i="5"/>
  <c r="H55" i="5"/>
  <c r="I55" i="5" s="1"/>
  <c r="J55" i="5" s="1"/>
  <c r="H43" i="5"/>
  <c r="I43" i="5"/>
  <c r="H31" i="5"/>
  <c r="I31" i="5" s="1"/>
  <c r="J31" i="5" s="1"/>
  <c r="H19" i="5"/>
  <c r="I19" i="5"/>
  <c r="H7" i="5"/>
  <c r="I7" i="5" s="1"/>
  <c r="J7" i="5" s="1"/>
  <c r="L7" i="5" s="1"/>
  <c r="AX6" i="5"/>
  <c r="AJ42" i="5"/>
  <c r="AJ30" i="5"/>
  <c r="AJ18" i="5"/>
  <c r="AJ6" i="5"/>
  <c r="V138" i="5"/>
  <c r="V126" i="5"/>
  <c r="V114" i="5"/>
  <c r="V102" i="5"/>
  <c r="V90" i="5"/>
  <c r="V78" i="5"/>
  <c r="H138" i="5"/>
  <c r="H126" i="5"/>
  <c r="H114" i="5"/>
  <c r="H102" i="5"/>
  <c r="H78" i="5"/>
  <c r="I78" i="5" s="1"/>
  <c r="J78" i="5" s="1"/>
  <c r="L78" i="5" s="1"/>
  <c r="H90" i="5"/>
  <c r="I90" i="5"/>
  <c r="V66" i="5"/>
  <c r="W66" i="5" s="1"/>
  <c r="X66" i="5" s="1"/>
  <c r="V54" i="5"/>
  <c r="W54" i="5"/>
  <c r="V42" i="5"/>
  <c r="W42" i="5" s="1"/>
  <c r="X42" i="5" s="1"/>
  <c r="V30" i="5"/>
  <c r="W30" i="5"/>
  <c r="X30" i="5" s="1"/>
  <c r="Z30" i="5" s="1"/>
  <c r="V18" i="5"/>
  <c r="W18" i="5" s="1"/>
  <c r="X18" i="5" s="1"/>
  <c r="V6" i="5"/>
  <c r="W6" i="5"/>
  <c r="H66" i="5"/>
  <c r="I66" i="5" s="1"/>
  <c r="J66" i="5" s="1"/>
  <c r="H54" i="5"/>
  <c r="I54" i="5"/>
  <c r="H42" i="5"/>
  <c r="I42" i="5" s="1"/>
  <c r="J42" i="5" s="1"/>
  <c r="L42" i="5" s="1"/>
  <c r="H30" i="5"/>
  <c r="I30" i="5"/>
  <c r="H18" i="5"/>
  <c r="I18" i="5" s="1"/>
  <c r="J18" i="5" s="1"/>
  <c r="H6" i="5"/>
  <c r="I6" i="5"/>
  <c r="K6" i="5" s="1"/>
  <c r="AX17" i="5"/>
  <c r="AX18" i="5"/>
  <c r="AX19" i="5"/>
  <c r="AX30" i="5"/>
  <c r="AX31" i="5"/>
  <c r="AJ41" i="5"/>
  <c r="AX5" i="5"/>
  <c r="AJ29" i="5"/>
  <c r="AJ17" i="5"/>
  <c r="AJ5" i="5"/>
  <c r="V137" i="5"/>
  <c r="V125" i="5"/>
  <c r="V113" i="5"/>
  <c r="V101" i="5"/>
  <c r="V89" i="5"/>
  <c r="V77" i="5"/>
  <c r="H137" i="5"/>
  <c r="H125" i="5"/>
  <c r="H77" i="5"/>
  <c r="I77" i="5"/>
  <c r="J77" i="5" s="1"/>
  <c r="L77" i="5" s="1"/>
  <c r="H113" i="5"/>
  <c r="H101" i="5"/>
  <c r="H89" i="5"/>
  <c r="I89" i="5"/>
  <c r="I96" i="5" s="1"/>
  <c r="V65" i="5"/>
  <c r="W65" i="5" s="1"/>
  <c r="X65" i="5" s="1"/>
  <c r="V53" i="5"/>
  <c r="W53" i="5"/>
  <c r="X53" i="5" s="1"/>
  <c r="Z53" i="5" s="1"/>
  <c r="V41" i="5"/>
  <c r="W41" i="5" s="1"/>
  <c r="X41" i="5" s="1"/>
  <c r="Z41" i="5" s="1"/>
  <c r="V29" i="5"/>
  <c r="W29" i="5"/>
  <c r="X29" i="5" s="1"/>
  <c r="Z29" i="5" s="1"/>
  <c r="V17" i="5"/>
  <c r="W17" i="5" s="1"/>
  <c r="X17" i="5" s="1"/>
  <c r="Z17" i="5" s="1"/>
  <c r="V5" i="5"/>
  <c r="W5" i="5"/>
  <c r="H65" i="5"/>
  <c r="I65" i="5" s="1"/>
  <c r="J65" i="5" s="1"/>
  <c r="L65" i="5" s="1"/>
  <c r="H53" i="5"/>
  <c r="I53" i="5"/>
  <c r="H41" i="5"/>
  <c r="I41" i="5" s="1"/>
  <c r="J41" i="5" s="1"/>
  <c r="L41" i="5" s="1"/>
  <c r="H29" i="5"/>
  <c r="I29" i="5"/>
  <c r="H17" i="5"/>
  <c r="I17" i="5" s="1"/>
  <c r="H5" i="5"/>
  <c r="I5" i="5"/>
  <c r="J5" i="5" s="1"/>
  <c r="L5" i="5" s="1"/>
  <c r="J11" i="5"/>
  <c r="L11" i="5" s="1"/>
  <c r="J9" i="5"/>
  <c r="L9" i="5"/>
  <c r="AX4" i="5"/>
  <c r="AY4" i="5" s="1"/>
  <c r="BA4" i="5" s="1"/>
  <c r="BC4" i="5" s="1"/>
  <c r="AX3" i="5"/>
  <c r="AY3" i="5"/>
  <c r="AX28" i="5"/>
  <c r="AY28" i="5" s="1"/>
  <c r="BA28" i="5" s="1"/>
  <c r="BC28" i="5" s="1"/>
  <c r="AX15" i="5"/>
  <c r="AY15" i="5"/>
  <c r="K5" i="5"/>
  <c r="M5" i="5" s="1"/>
  <c r="Y29" i="5"/>
  <c r="AA29" i="5" s="1"/>
  <c r="Y53" i="5"/>
  <c r="AA53" i="5" s="1"/>
  <c r="AZ28" i="5"/>
  <c r="BB28" i="5" s="1"/>
  <c r="AZ4" i="5"/>
  <c r="BB4" i="5" s="1"/>
  <c r="K41" i="5"/>
  <c r="M41" i="5" s="1"/>
  <c r="K65" i="5"/>
  <c r="M65" i="5" s="1"/>
  <c r="Y65" i="5"/>
  <c r="AA65" i="5" s="1"/>
  <c r="Z65" i="5"/>
  <c r="K18" i="5"/>
  <c r="M18" i="5" s="1"/>
  <c r="L18" i="5"/>
  <c r="L66" i="5"/>
  <c r="Y18" i="5"/>
  <c r="AA18" i="5" s="1"/>
  <c r="Z18" i="5"/>
  <c r="Y42" i="5"/>
  <c r="AA42" i="5" s="1"/>
  <c r="Z42" i="5"/>
  <c r="Y66" i="5"/>
  <c r="AA66" i="5" s="1"/>
  <c r="Z66" i="5"/>
  <c r="K78" i="5"/>
  <c r="M78" i="5" s="1"/>
  <c r="K31" i="5"/>
  <c r="M31" i="5"/>
  <c r="L31" i="5"/>
  <c r="K55" i="5"/>
  <c r="M55" i="5" s="1"/>
  <c r="L55" i="5"/>
  <c r="Y7" i="5"/>
  <c r="AA7" i="5" s="1"/>
  <c r="Z7" i="5"/>
  <c r="Y55" i="5"/>
  <c r="AA55" i="5"/>
  <c r="X55" i="5"/>
  <c r="Z55" i="5" s="1"/>
  <c r="K79" i="5"/>
  <c r="M79" i="5"/>
  <c r="J79" i="5"/>
  <c r="L79" i="5" s="1"/>
  <c r="K16" i="5"/>
  <c r="M16" i="5"/>
  <c r="J16" i="5"/>
  <c r="L16" i="5" s="1"/>
  <c r="M40" i="5"/>
  <c r="K64" i="5"/>
  <c r="M64" i="5"/>
  <c r="J64" i="5"/>
  <c r="L64" i="5" s="1"/>
  <c r="Y16" i="5"/>
  <c r="AA16" i="5"/>
  <c r="X16" i="5"/>
  <c r="Z16" i="5" s="1"/>
  <c r="Y40" i="5"/>
  <c r="AA40" i="5"/>
  <c r="X40" i="5"/>
  <c r="Z40" i="5" s="1"/>
  <c r="AA64" i="5"/>
  <c r="K100" i="5"/>
  <c r="M100" i="5"/>
  <c r="J100" i="5"/>
  <c r="L100" i="5" s="1"/>
  <c r="K76" i="5"/>
  <c r="M76" i="5"/>
  <c r="J76" i="5"/>
  <c r="L76" i="5" s="1"/>
  <c r="L84" i="5" s="1"/>
  <c r="E22" i="6" s="1"/>
  <c r="K136" i="5"/>
  <c r="M136" i="5"/>
  <c r="J136" i="5"/>
  <c r="L136" i="5" s="1"/>
  <c r="AA88" i="5"/>
  <c r="AA96" i="5" s="1"/>
  <c r="F29" i="6" s="1"/>
  <c r="Y112" i="5"/>
  <c r="AA112" i="5"/>
  <c r="X112" i="5"/>
  <c r="Z112" i="5" s="1"/>
  <c r="Y136" i="5"/>
  <c r="AA136" i="5"/>
  <c r="X136" i="5"/>
  <c r="Z136" i="5" s="1"/>
  <c r="AM16" i="5"/>
  <c r="AO16" i="5"/>
  <c r="AL16" i="5"/>
  <c r="AN16" i="5" s="1"/>
  <c r="AN40" i="5"/>
  <c r="K3" i="5"/>
  <c r="J3" i="5"/>
  <c r="L3" i="5" s="1"/>
  <c r="K27" i="5"/>
  <c r="J27" i="5"/>
  <c r="I36" i="5"/>
  <c r="K51" i="5"/>
  <c r="J51" i="5"/>
  <c r="Y3" i="5"/>
  <c r="Y27" i="5"/>
  <c r="X27" i="5"/>
  <c r="Y51" i="5"/>
  <c r="X51" i="5"/>
  <c r="W60" i="5"/>
  <c r="K87" i="5"/>
  <c r="J87" i="5"/>
  <c r="K111" i="5"/>
  <c r="K123" i="5"/>
  <c r="J123" i="5"/>
  <c r="L123" i="5" s="1"/>
  <c r="L132" i="5" s="1"/>
  <c r="E26" i="6" s="1"/>
  <c r="Y75" i="5"/>
  <c r="X75" i="5"/>
  <c r="W84" i="5"/>
  <c r="Y99" i="5"/>
  <c r="X99" i="5"/>
  <c r="W108" i="5"/>
  <c r="Y123" i="5"/>
  <c r="AM3" i="5"/>
  <c r="AL3" i="5"/>
  <c r="AM27" i="5"/>
  <c r="AL27" i="5"/>
  <c r="AK36" i="5"/>
  <c r="AL39" i="5"/>
  <c r="AM39" i="5"/>
  <c r="AK48" i="5"/>
  <c r="AZ3" i="5"/>
  <c r="AZ12" i="5" s="1"/>
  <c r="C38" i="6" s="1"/>
  <c r="B38" i="6" s="1"/>
  <c r="K29" i="5"/>
  <c r="M29" i="5"/>
  <c r="J29" i="5"/>
  <c r="L29" i="5" s="1"/>
  <c r="Y5" i="5"/>
  <c r="AA5" i="5"/>
  <c r="X5" i="5"/>
  <c r="Z5" i="5" s="1"/>
  <c r="M6" i="5"/>
  <c r="K30" i="5"/>
  <c r="M30" i="5"/>
  <c r="J30" i="5"/>
  <c r="L30" i="5" s="1"/>
  <c r="K54" i="5"/>
  <c r="M54" i="5"/>
  <c r="J54" i="5"/>
  <c r="L54" i="5" s="1"/>
  <c r="Y6" i="5"/>
  <c r="AA6" i="5"/>
  <c r="X6" i="5"/>
  <c r="Z6" i="5" s="1"/>
  <c r="Y30" i="5"/>
  <c r="AA30" i="5"/>
  <c r="Y54" i="5"/>
  <c r="AA54" i="5"/>
  <c r="X54" i="5"/>
  <c r="Z54" i="5" s="1"/>
  <c r="K90" i="5"/>
  <c r="M90" i="5"/>
  <c r="J90" i="5"/>
  <c r="L90" i="5" s="1"/>
  <c r="K19" i="5"/>
  <c r="M19" i="5"/>
  <c r="J19" i="5"/>
  <c r="L19" i="5" s="1"/>
  <c r="K43" i="5"/>
  <c r="M43" i="5"/>
  <c r="J43" i="5"/>
  <c r="L43" i="5" s="1"/>
  <c r="K67" i="5"/>
  <c r="M67" i="5" s="1"/>
  <c r="J67" i="5"/>
  <c r="L67" i="5" s="1"/>
  <c r="Y19" i="5"/>
  <c r="AA19" i="5"/>
  <c r="X19" i="5"/>
  <c r="Z19" i="5" s="1"/>
  <c r="Y43" i="5"/>
  <c r="AA43" i="5"/>
  <c r="X43" i="5"/>
  <c r="Z43" i="5" s="1"/>
  <c r="Y67" i="5"/>
  <c r="AA67" i="5"/>
  <c r="X67" i="5"/>
  <c r="Z67" i="5" s="1"/>
  <c r="K91" i="5"/>
  <c r="M91" i="5" s="1"/>
  <c r="J91" i="5"/>
  <c r="L91" i="5" s="1"/>
  <c r="K4" i="5"/>
  <c r="M4" i="5"/>
  <c r="J4" i="5"/>
  <c r="L4" i="5" s="1"/>
  <c r="K28" i="5"/>
  <c r="M28" i="5"/>
  <c r="J28" i="5"/>
  <c r="L28" i="5" s="1"/>
  <c r="K52" i="5"/>
  <c r="M52" i="5"/>
  <c r="J52" i="5"/>
  <c r="L52" i="5" s="1"/>
  <c r="Y4" i="5"/>
  <c r="AA4" i="5" s="1"/>
  <c r="AA12" i="5" s="1"/>
  <c r="F16" i="6" s="1"/>
  <c r="X4" i="5"/>
  <c r="Z4" i="5" s="1"/>
  <c r="Y28" i="5"/>
  <c r="AA28" i="5"/>
  <c r="AA36" i="5" s="1"/>
  <c r="F18" i="6" s="1"/>
  <c r="X28" i="5"/>
  <c r="Z28" i="5" s="1"/>
  <c r="Y52" i="5"/>
  <c r="AA52" i="5"/>
  <c r="X52" i="5"/>
  <c r="Z52" i="5" s="1"/>
  <c r="K88" i="5"/>
  <c r="M88" i="5"/>
  <c r="J88" i="5"/>
  <c r="L88" i="5" s="1"/>
  <c r="K112" i="5"/>
  <c r="M112" i="5" s="1"/>
  <c r="M120" i="5" s="1"/>
  <c r="F25" i="6" s="1"/>
  <c r="J112" i="5"/>
  <c r="L112" i="5" s="1"/>
  <c r="K124" i="5"/>
  <c r="M124" i="5"/>
  <c r="M132" i="5" s="1"/>
  <c r="F26" i="6" s="1"/>
  <c r="J124" i="5"/>
  <c r="L124" i="5" s="1"/>
  <c r="Y76" i="5"/>
  <c r="AA76" i="5"/>
  <c r="X76" i="5"/>
  <c r="Z76" i="5" s="1"/>
  <c r="Z84" i="5" s="1"/>
  <c r="E28" i="6" s="1"/>
  <c r="Y100" i="5"/>
  <c r="AA100" i="5"/>
  <c r="X100" i="5"/>
  <c r="Z100" i="5" s="1"/>
  <c r="Y124" i="5"/>
  <c r="AA124" i="5" s="1"/>
  <c r="AA132" i="5" s="1"/>
  <c r="F32" i="6" s="1"/>
  <c r="X124" i="5"/>
  <c r="Z124" i="5" s="1"/>
  <c r="AM4" i="5"/>
  <c r="AO4" i="5"/>
  <c r="AO12" i="5" s="1"/>
  <c r="F34" i="6" s="1"/>
  <c r="AL4" i="5"/>
  <c r="AN4" i="5" s="1"/>
  <c r="AM28" i="5"/>
  <c r="AO28" i="5"/>
  <c r="AL28" i="5"/>
  <c r="AN28" i="5" s="1"/>
  <c r="AN36" i="5" s="1"/>
  <c r="E36" i="6" s="1"/>
  <c r="AZ16" i="5"/>
  <c r="BB16" i="5"/>
  <c r="BA16" i="5"/>
  <c r="BC16" i="5" s="1"/>
  <c r="K15" i="5"/>
  <c r="J15" i="5"/>
  <c r="J39" i="5"/>
  <c r="L39" i="5" s="1"/>
  <c r="I48" i="5"/>
  <c r="K63" i="5"/>
  <c r="J63" i="5"/>
  <c r="I72" i="5"/>
  <c r="Y15" i="5"/>
  <c r="X15" i="5"/>
  <c r="W24" i="5"/>
  <c r="Y39" i="5"/>
  <c r="AA39" i="5" s="1"/>
  <c r="X39" i="5"/>
  <c r="X48" i="5" s="1"/>
  <c r="Y63" i="5"/>
  <c r="X63" i="5"/>
  <c r="W72" i="5"/>
  <c r="K99" i="5"/>
  <c r="I108" i="5"/>
  <c r="J99" i="5"/>
  <c r="K75" i="5"/>
  <c r="J75" i="5"/>
  <c r="L75" i="5" s="1"/>
  <c r="K135" i="5"/>
  <c r="K144" i="5" s="1"/>
  <c r="D27" i="6" s="1"/>
  <c r="J135" i="5"/>
  <c r="J144" i="5" s="1"/>
  <c r="I144" i="5"/>
  <c r="Y87" i="5"/>
  <c r="X87" i="5"/>
  <c r="W96" i="5"/>
  <c r="Y111" i="5"/>
  <c r="AA111" i="5" s="1"/>
  <c r="X111" i="5"/>
  <c r="W120" i="5"/>
  <c r="Y135" i="5"/>
  <c r="X135" i="5"/>
  <c r="W144" i="5"/>
  <c r="AM15" i="5"/>
  <c r="AO15" i="5" s="1"/>
  <c r="AO24" i="5" s="1"/>
  <c r="F35" i="6" s="1"/>
  <c r="AL15" i="5"/>
  <c r="AL24" i="5" s="1"/>
  <c r="AK24" i="5"/>
  <c r="AZ27" i="5"/>
  <c r="BA27" i="5"/>
  <c r="BA36" i="5" s="1"/>
  <c r="D40" i="6" s="1"/>
  <c r="AY36" i="5"/>
  <c r="AA120" i="5"/>
  <c r="F31" i="6"/>
  <c r="Y120" i="5"/>
  <c r="D31" i="6" s="1"/>
  <c r="J84" i="5"/>
  <c r="C22" i="6"/>
  <c r="L99" i="5"/>
  <c r="L108" i="5" s="1"/>
  <c r="E24" i="6"/>
  <c r="J108" i="5"/>
  <c r="C24" i="6"/>
  <c r="M63" i="5"/>
  <c r="AZ36" i="5"/>
  <c r="C40" i="6" s="1"/>
  <c r="B40" i="6" s="1"/>
  <c r="BB27" i="5"/>
  <c r="BB36" i="5" s="1"/>
  <c r="E40" i="6" s="1"/>
  <c r="AN15" i="5"/>
  <c r="AN24" i="5" s="1"/>
  <c r="E35" i="6" s="1"/>
  <c r="C35" i="6"/>
  <c r="AA135" i="5"/>
  <c r="AA144" i="5" s="1"/>
  <c r="F33" i="6" s="1"/>
  <c r="Y144" i="5"/>
  <c r="D33" i="6" s="1"/>
  <c r="Z111" i="5"/>
  <c r="Z120" i="5" s="1"/>
  <c r="E31" i="6" s="1"/>
  <c r="X120" i="5"/>
  <c r="C31" i="6" s="1"/>
  <c r="AA87" i="5"/>
  <c r="Y96" i="5"/>
  <c r="D29" i="6" s="1"/>
  <c r="L135" i="5"/>
  <c r="L144" i="5" s="1"/>
  <c r="E27" i="6" s="1"/>
  <c r="C27" i="6"/>
  <c r="M75" i="5"/>
  <c r="AA63" i="5"/>
  <c r="AA72" i="5" s="1"/>
  <c r="F21" i="6" s="1"/>
  <c r="Y72" i="5"/>
  <c r="D21" i="6"/>
  <c r="C19" i="6"/>
  <c r="AA15" i="5"/>
  <c r="L63" i="5"/>
  <c r="M39" i="5"/>
  <c r="L15" i="5"/>
  <c r="BB3" i="5"/>
  <c r="BB12" i="5" s="1"/>
  <c r="E38" i="6" s="1"/>
  <c r="AO39" i="5"/>
  <c r="AO27" i="5"/>
  <c r="AO36" i="5" s="1"/>
  <c r="F36" i="6" s="1"/>
  <c r="AM36" i="5"/>
  <c r="D36" i="6"/>
  <c r="AN3" i="5"/>
  <c r="AN12" i="5"/>
  <c r="E34" i="6"/>
  <c r="AL12" i="5"/>
  <c r="C34" i="6" s="1"/>
  <c r="AA123" i="5"/>
  <c r="Z99" i="5"/>
  <c r="Z108" i="5"/>
  <c r="E30" i="6" s="1"/>
  <c r="X108" i="5"/>
  <c r="C30" i="6"/>
  <c r="AA75" i="5"/>
  <c r="AA84" i="5" s="1"/>
  <c r="F28" i="6" s="1"/>
  <c r="Y84" i="5"/>
  <c r="D28" i="6"/>
  <c r="J132" i="5"/>
  <c r="C26" i="6" s="1"/>
  <c r="M111" i="5"/>
  <c r="L87" i="5"/>
  <c r="AA51" i="5"/>
  <c r="AA60" i="5" s="1"/>
  <c r="F20" i="6" s="1"/>
  <c r="Y60" i="5"/>
  <c r="D20" i="6"/>
  <c r="AA3" i="5"/>
  <c r="L51" i="5"/>
  <c r="M27" i="5"/>
  <c r="M36" i="5" s="1"/>
  <c r="F12" i="6" s="1"/>
  <c r="K36" i="5"/>
  <c r="D12" i="6"/>
  <c r="BC27" i="5"/>
  <c r="BC36" i="5" s="1"/>
  <c r="F40" i="6" s="1"/>
  <c r="Z135" i="5"/>
  <c r="Z144" i="5"/>
  <c r="E33" i="6"/>
  <c r="X144" i="5"/>
  <c r="C33" i="6" s="1"/>
  <c r="M99" i="5"/>
  <c r="M108" i="5"/>
  <c r="F24" i="6" s="1"/>
  <c r="K108" i="5"/>
  <c r="D24" i="6"/>
  <c r="Z63" i="5"/>
  <c r="X24" i="5"/>
  <c r="C17" i="6"/>
  <c r="Z15" i="5"/>
  <c r="Z24" i="5"/>
  <c r="E17" i="6" s="1"/>
  <c r="AN39" i="5"/>
  <c r="AN27" i="5"/>
  <c r="AL36" i="5"/>
  <c r="C36" i="6" s="1"/>
  <c r="AO3" i="5"/>
  <c r="AM12" i="5"/>
  <c r="D34" i="6"/>
  <c r="AA99" i="5"/>
  <c r="AA108" i="5" s="1"/>
  <c r="F30" i="6" s="1"/>
  <c r="Y108" i="5"/>
  <c r="D30" i="6"/>
  <c r="Z75" i="5"/>
  <c r="X84" i="5"/>
  <c r="C28" i="6" s="1"/>
  <c r="M123" i="5"/>
  <c r="K132" i="5"/>
  <c r="D26" i="6"/>
  <c r="M87" i="5"/>
  <c r="X60" i="5"/>
  <c r="C20" i="6"/>
  <c r="Z51" i="5"/>
  <c r="Z60" i="5"/>
  <c r="E20" i="6" s="1"/>
  <c r="AA27" i="5"/>
  <c r="Y36" i="5"/>
  <c r="D18" i="6"/>
  <c r="M51" i="5"/>
  <c r="L27" i="5"/>
  <c r="M3" i="5"/>
  <c r="K24" i="5" l="1"/>
  <c r="D11" i="6" s="1"/>
  <c r="X36" i="5"/>
  <c r="C18" i="6" s="1"/>
  <c r="Z27" i="5"/>
  <c r="Z36" i="5" s="1"/>
  <c r="E18" i="6" s="1"/>
  <c r="AY12" i="5"/>
  <c r="BA3" i="5"/>
  <c r="J17" i="5"/>
  <c r="K17" i="5"/>
  <c r="M17" i="5" s="1"/>
  <c r="I24" i="5"/>
  <c r="J53" i="5"/>
  <c r="I60" i="5"/>
  <c r="K53" i="5"/>
  <c r="AM24" i="5"/>
  <c r="D35" i="6" s="1"/>
  <c r="M15" i="5"/>
  <c r="M24" i="5" s="1"/>
  <c r="F11" i="6" s="1"/>
  <c r="M135" i="5"/>
  <c r="M144" i="5" s="1"/>
  <c r="F27" i="6" s="1"/>
  <c r="Y12" i="5"/>
  <c r="D16" i="6" s="1"/>
  <c r="K120" i="5"/>
  <c r="D25" i="6" s="1"/>
  <c r="Y132" i="5"/>
  <c r="D32" i="6" s="1"/>
  <c r="Z39" i="5"/>
  <c r="Z48" i="5" s="1"/>
  <c r="E19" i="6" s="1"/>
  <c r="Z87" i="5"/>
  <c r="W48" i="5"/>
  <c r="J6" i="5"/>
  <c r="J89" i="5"/>
  <c r="X123" i="5"/>
  <c r="J111" i="5"/>
  <c r="X3" i="5"/>
  <c r="AM40" i="5"/>
  <c r="X88" i="5"/>
  <c r="Z88" i="5" s="1"/>
  <c r="X64" i="5"/>
  <c r="J40" i="5"/>
  <c r="X31" i="5"/>
  <c r="Z31" i="5" s="1"/>
  <c r="K42" i="5"/>
  <c r="K77" i="5"/>
  <c r="Y17" i="5"/>
  <c r="AA17" i="5" s="1"/>
  <c r="AA24" i="5" s="1"/>
  <c r="F17" i="6" s="1"/>
  <c r="K89" i="5"/>
  <c r="K7" i="5"/>
  <c r="K66" i="5"/>
  <c r="M66" i="5" s="1"/>
  <c r="M72" i="5" s="1"/>
  <c r="F15" i="6" s="1"/>
  <c r="AZ15" i="5"/>
  <c r="BA15" i="5"/>
  <c r="AY24" i="5"/>
  <c r="I84" i="5"/>
  <c r="Y41" i="5"/>
  <c r="J23" i="5"/>
  <c r="L23" i="5" s="1"/>
  <c r="J35" i="5"/>
  <c r="J47" i="5"/>
  <c r="L47" i="5" s="1"/>
  <c r="J59" i="5"/>
  <c r="L59" i="5" s="1"/>
  <c r="J71" i="5"/>
  <c r="X11" i="5"/>
  <c r="Z11" i="5" s="1"/>
  <c r="X9" i="5"/>
  <c r="Z9" i="5" s="1"/>
  <c r="X10" i="5"/>
  <c r="Z10" i="5" s="1"/>
  <c r="AL44" i="5"/>
  <c r="AM46" i="5"/>
  <c r="AO46" i="5" s="1"/>
  <c r="M77" i="5" l="1"/>
  <c r="M84" i="5" s="1"/>
  <c r="F22" i="6" s="1"/>
  <c r="K84" i="5"/>
  <c r="D22" i="6" s="1"/>
  <c r="Z64" i="5"/>
  <c r="Z72" i="5" s="1"/>
  <c r="E21" i="6" s="1"/>
  <c r="X72" i="5"/>
  <c r="C21" i="6" s="1"/>
  <c r="L17" i="5"/>
  <c r="L24" i="5" s="1"/>
  <c r="E11" i="6" s="1"/>
  <c r="J24" i="5"/>
  <c r="C11" i="6" s="1"/>
  <c r="L35" i="5"/>
  <c r="L36" i="5" s="1"/>
  <c r="E12" i="6" s="1"/>
  <c r="J36" i="5"/>
  <c r="C12" i="6" s="1"/>
  <c r="K12" i="5"/>
  <c r="D10" i="6" s="1"/>
  <c r="M7" i="5"/>
  <c r="M12" i="5" s="1"/>
  <c r="F10" i="6" s="1"/>
  <c r="M42" i="5"/>
  <c r="M48" i="5" s="1"/>
  <c r="F13" i="6" s="1"/>
  <c r="K48" i="5"/>
  <c r="D13" i="6" s="1"/>
  <c r="X132" i="5"/>
  <c r="C32" i="6" s="1"/>
  <c r="Z123" i="5"/>
  <c r="Z132" i="5" s="1"/>
  <c r="E32" i="6" s="1"/>
  <c r="Z96" i="5"/>
  <c r="E29" i="6" s="1"/>
  <c r="X96" i="5"/>
  <c r="C29" i="6" s="1"/>
  <c r="L53" i="5"/>
  <c r="L60" i="5" s="1"/>
  <c r="E14" i="6" s="1"/>
  <c r="J60" i="5"/>
  <c r="C14" i="6" s="1"/>
  <c r="BA12" i="5"/>
  <c r="D38" i="6" s="1"/>
  <c r="BC3" i="5"/>
  <c r="BC12" i="5" s="1"/>
  <c r="F38" i="6" s="1"/>
  <c r="J120" i="5"/>
  <c r="C25" i="6" s="1"/>
  <c r="L111" i="5"/>
  <c r="L120" i="5" s="1"/>
  <c r="E25" i="6" s="1"/>
  <c r="AN44" i="5"/>
  <c r="AN48" i="5" s="1"/>
  <c r="E37" i="6" s="1"/>
  <c r="AL48" i="5"/>
  <c r="C37" i="6" s="1"/>
  <c r="L71" i="5"/>
  <c r="L72" i="5" s="1"/>
  <c r="E15" i="6" s="1"/>
  <c r="J72" i="5"/>
  <c r="C15" i="6" s="1"/>
  <c r="BA24" i="5"/>
  <c r="D39" i="6" s="1"/>
  <c r="BC15" i="5"/>
  <c r="BC24" i="5" s="1"/>
  <c r="F39" i="6" s="1"/>
  <c r="M89" i="5"/>
  <c r="M96" i="5" s="1"/>
  <c r="F23" i="6" s="1"/>
  <c r="K96" i="5"/>
  <c r="D23" i="6" s="1"/>
  <c r="AO40" i="5"/>
  <c r="AO48" i="5" s="1"/>
  <c r="F37" i="6" s="1"/>
  <c r="AM48" i="5"/>
  <c r="D37" i="6" s="1"/>
  <c r="L89" i="5"/>
  <c r="L96" i="5" s="1"/>
  <c r="E23" i="6" s="1"/>
  <c r="J96" i="5"/>
  <c r="C23" i="6" s="1"/>
  <c r="K72" i="5"/>
  <c r="D15" i="6" s="1"/>
  <c r="AA41" i="5"/>
  <c r="AA48" i="5" s="1"/>
  <c r="F19" i="6" s="1"/>
  <c r="Y48" i="5"/>
  <c r="D19" i="6" s="1"/>
  <c r="BB15" i="5"/>
  <c r="BB24" i="5" s="1"/>
  <c r="E39" i="6" s="1"/>
  <c r="AZ24" i="5"/>
  <c r="C39" i="6" s="1"/>
  <c r="B39" i="6" s="1"/>
  <c r="L40" i="5"/>
  <c r="L48" i="5" s="1"/>
  <c r="E13" i="6" s="1"/>
  <c r="J48" i="5"/>
  <c r="C13" i="6" s="1"/>
  <c r="Z3" i="5"/>
  <c r="Z12" i="5" s="1"/>
  <c r="E16" i="6" s="1"/>
  <c r="X12" i="5"/>
  <c r="C16" i="6" s="1"/>
  <c r="L6" i="5"/>
  <c r="L12" i="5" s="1"/>
  <c r="E10" i="6" s="1"/>
  <c r="J12" i="5"/>
  <c r="C10" i="6" s="1"/>
  <c r="M53" i="5"/>
  <c r="M60" i="5" s="1"/>
  <c r="F14" i="6" s="1"/>
  <c r="K60" i="5"/>
  <c r="D14" i="6" s="1"/>
  <c r="Y24" i="5"/>
  <c r="D17" i="6" s="1"/>
  <c r="E43" i="6" l="1"/>
  <c r="E41" i="6"/>
  <c r="E42" i="6"/>
  <c r="F43" i="6"/>
  <c r="F42" i="6"/>
  <c r="F41" i="6"/>
  <c r="C42" i="6"/>
  <c r="C43" i="6"/>
  <c r="C41" i="6"/>
  <c r="D41" i="6"/>
  <c r="D43" i="6"/>
  <c r="D42" i="6"/>
</calcChain>
</file>

<file path=xl/comments1.xml><?xml version="1.0" encoding="utf-8"?>
<comments xmlns="http://schemas.openxmlformats.org/spreadsheetml/2006/main">
  <authors>
    <author>State of Alabama</author>
  </authors>
  <commentList>
    <comment ref="E4" authorId="0" shapeId="0">
      <text>
        <r>
          <rPr>
            <b/>
            <sz val="8"/>
            <color indexed="81"/>
            <rFont val="Courier"/>
            <family val="3"/>
          </rPr>
          <t>Baffling Conditions          Efficiency                      Baffling Description 
------------------------------------------------------------------------------------------------------------
Unbaffled                             0.1                           None; Agitated basin, high inlet and outlet
                                                                             flow velocities; variable water level
Poor                                    0.3                           Single or multiple unbaffled inlets and 
                                                                             outlets, no intra-basin baffles
Average                              0.5                            Baffled inlet or outlet with some intra-
                                                                             basin baffling
Superior                             0.7                            Perforated inlet baffle, serpentine or 
                                                                             perforated intra-basin baffles, outlet weir 
                                                                             or perforated weir
Excellent                            0.9                            Serpentine baffling throughout basin
Perfect (plug flow)            1.0                             Pipeline flow</t>
        </r>
      </text>
    </comment>
    <comment ref="E15" authorId="0" shapeId="0">
      <text>
        <r>
          <rPr>
            <b/>
            <sz val="8"/>
            <color indexed="81"/>
            <rFont val="Courier"/>
            <family val="3"/>
          </rPr>
          <t>Baffling Conditions          Efficiency                      Baffling Description 
------------------------------------------------------------------------------------------------------------
Unbaffled                             0.1                           None; Agitated basin, high inlet and outlet
                                                                             flow velocities; variable water level
Poor                                    0.3                           Single or multiple unbaffled inlets and 
                                                                             outlets, no intra-basin baffles
Average                              0.5                            Baffled inlet or outlet with some intra-
                                                                             basin baffling
Superior                             0.7                            Perforated inlet baffle, serpentine or 
                                                                             perforated intra-basin baffles, outlet weir 
                                                                             or perforated weir
Excellent                            0.9                            Serpentine baffling throughout basin
Perfect (plug flow)            1.0                             Pipeline flow</t>
        </r>
      </text>
    </comment>
    <comment ref="E26" authorId="0" shapeId="0">
      <text>
        <r>
          <rPr>
            <b/>
            <sz val="8"/>
            <color indexed="81"/>
            <rFont val="Courier"/>
            <family val="3"/>
          </rPr>
          <t>Baffling Conditions          Efficiency                      Baffling Description 
------------------------------------------------------------------------------------------------------------
Unbaffled                             0.1                           None; Agitated basin, high inlet and outlet
                                                                             flow velocities; variable water level
Poor                                    0.3                           Single or multiple unbaffled inlets and 
                                                                             outlets, no intra-basin baffles
Average                              0.5                            Baffled inlet or outlet with some intra-
                                                                             basin baffling
Superior                             0.7                            Perforated inlet baffle, serpentine or 
                                                                             perforated intra-basin baffles, outlet weir 
                                                                             or perforated weir
Excellent                            0.9                            Serpentine baffling throughout basin
Perfect (plug flow)            1.0                             Pipeline flow</t>
        </r>
      </text>
    </comment>
    <comment ref="E39" authorId="0" shapeId="0">
      <text>
        <r>
          <rPr>
            <b/>
            <sz val="8"/>
            <color indexed="81"/>
            <rFont val="Courier"/>
            <family val="3"/>
          </rPr>
          <t>Baffling Conditions          Efficiency                      Baffling Description 
------------------------------------------------------------------------------------------------------------
Unbaffled                             0.1                           None; Agitated basin, high inlet and outlet
                                                                             flow velocities; variable water level
Poor                                    0.3                           Single or multiple unbaffled inlets and 
                                                                             outlets, no intra-basin baffles
Average                              0.5                            Baffled inlet or outlet with some intra-
                                                                             basin baffling
Superior                             0.7                            Perforated inlet baffle, serpentine or 
                                                                             perforated intra-basin baffles, outlet weir 
                                                                             or perforated weir
Excellent                            0.9                            Serpentine baffling throughout basin
Perfect (plug flow)            1.0                             Pipeline flow</t>
        </r>
      </text>
    </comment>
    <comment ref="E50" authorId="0" shapeId="0">
      <text>
        <r>
          <rPr>
            <b/>
            <sz val="8"/>
            <color indexed="81"/>
            <rFont val="Courier"/>
            <family val="3"/>
          </rPr>
          <t>Baffling Conditions          Efficiency                      Baffling Description 
------------------------------------------------------------------------------------------------------------
Unbaffled                             0.1                           None; Agitated basin, high inlet and outlet
                                                                             flow velocities; variable water level
Poor                                    0.3                           Single or multiple unbaffled inlets and 
                                                                             outlets, no intra-basin baffles
Average                              0.5                            Baffled inlet or outlet with some intra-
                                                                             basin baffling
Superior                             0.7                            Perforated inlet baffle, serpentine or 
                                                                             perforated intra-basin baffles, outlet weir 
                                                                             or perforated weir
Excellent                            0.9                            Serpentine baffling throughout basin
Perfect (plug flow)            1.0                             Pipeline flow</t>
        </r>
      </text>
    </comment>
    <comment ref="E61" authorId="0" shapeId="0">
      <text>
        <r>
          <rPr>
            <b/>
            <sz val="8"/>
            <color indexed="81"/>
            <rFont val="Courier"/>
            <family val="3"/>
          </rPr>
          <t>Baffling Conditions          Efficiency                      Baffling Description 
------------------------------------------------------------------------------------------------------------
Unbaffled                             0.1                           None; Agitated basin, high inlet and outlet
                                                                             flow velocities; variable water level
Poor                                    0.3                           Single or multiple unbaffled inlets and 
                                                                             outlets, no intra-basin baffles
Average                              0.5                            Baffled inlet or outlet with some intra-
                                                                             basin baffling
Superior                             0.7                            Perforated inlet baffle, serpentine or 
                                                                             perforated intra-basin baffles, outlet weir 
                                                                             or perforated weir
Excellent                            0.9                            Serpentine baffling throughout basin
Perfect (plug flow)            1.0                             Pipeline flow</t>
        </r>
      </text>
    </comment>
    <comment ref="E74" authorId="0" shapeId="0">
      <text>
        <r>
          <rPr>
            <b/>
            <sz val="8"/>
            <color indexed="81"/>
            <rFont val="Courier"/>
            <family val="3"/>
          </rPr>
          <t>Baffling Conditions          Efficiency                      Baffling Description 
------------------------------------------------------------------------------------------------------------
Unbaffled                             0.1                           None; Agitated basin, high inlet and outlet
                                                                             flow velocities; variable water level
Poor                                    0.3                           Single or multiple unbaffled inlets and 
                                                                             outlets, no intra-basin baffles
Average                              0.5                            Baffled inlet or outlet with some intra-
                                                                             basin baffling
Superior                             0.7                            Perforated inlet baffle, serpentine or 
                                                                             perforated intra-basin baffles, outlet weir 
                                                                             or perforated weir
Excellent                            0.9                            Serpentine baffling throughout basin
Perfect (plug flow)            1.0                             Pipeline flow</t>
        </r>
      </text>
    </comment>
    <comment ref="E85" authorId="0" shapeId="0">
      <text>
        <r>
          <rPr>
            <b/>
            <sz val="8"/>
            <color indexed="81"/>
            <rFont val="Courier"/>
            <family val="3"/>
          </rPr>
          <t>Baffling Conditions          Efficiency                      Baffling Description 
------------------------------------------------------------------------------------------------------------
Unbaffled                             0.1                           None; Agitated basin, high inlet and outlet
                                                                             flow velocities; variable water level
Poor                                    0.3                           Single or multiple unbaffled inlets and 
                                                                             outlets, no intra-basin baffles
Average                              0.5                            Baffled inlet or outlet with some intra-
                                                                             basin baffling
Superior                             0.7                            Perforated inlet baffle, serpentine or 
                                                                             perforated intra-basin baffles, outlet weir 
                                                                             or perforated weir
Excellent                            0.9                            Serpentine baffling throughout basin
Perfect (plug flow)            1.0                             Pipeline flow</t>
        </r>
      </text>
    </comment>
    <comment ref="E96" authorId="0" shapeId="0">
      <text>
        <r>
          <rPr>
            <b/>
            <sz val="8"/>
            <color indexed="81"/>
            <rFont val="Courier"/>
            <family val="3"/>
          </rPr>
          <t>Baffling Conditions          Efficiency                      Baffling Description 
------------------------------------------------------------------------------------------------------------
Unbaffled                             0.1                           None; Agitated basin, high inlet and outlet
                                                                             flow velocities; variable water level
Poor                                    0.3                           Single or multiple unbaffled inlets and 
                                                                             outlets, no intra-basin baffles
Average                              0.5                            Baffled inlet or outlet with some intra-
                                                                             basin baffling
Superior                             0.7                            Perforated inlet baffle, serpentine or 
                                                                             perforated intra-basin baffles, outlet weir 
                                                                             or perforated weir
Excellent                            0.9                            Serpentine baffling throughout basin
Perfect (plug flow)            1.0                             Pipeline flow</t>
        </r>
      </text>
    </comment>
  </commentList>
</comments>
</file>

<file path=xl/sharedStrings.xml><?xml version="1.0" encoding="utf-8"?>
<sst xmlns="http://schemas.openxmlformats.org/spreadsheetml/2006/main" count="579" uniqueCount="94">
  <si>
    <t>Chlorine</t>
  </si>
  <si>
    <t>Chloramines</t>
  </si>
  <si>
    <t>Chlorine Dioxide</t>
  </si>
  <si>
    <t>Ozone</t>
  </si>
  <si>
    <t>Day</t>
  </si>
  <si>
    <t>Disinfectant</t>
  </si>
  <si>
    <t>pH</t>
  </si>
  <si>
    <t>Rapid Mix</t>
  </si>
  <si>
    <t>Flocculation</t>
  </si>
  <si>
    <t>Sedimentation</t>
  </si>
  <si>
    <t>Filtration</t>
  </si>
  <si>
    <t>Clearwell</t>
  </si>
  <si>
    <t>Pipe</t>
  </si>
  <si>
    <t>Treatment Segment</t>
  </si>
  <si>
    <t>Not In Use</t>
  </si>
  <si>
    <t>Baffling Factor</t>
  </si>
  <si>
    <t>System Name</t>
  </si>
  <si>
    <t>None</t>
  </si>
  <si>
    <t>Segment 1</t>
  </si>
  <si>
    <t>Basin Type</t>
  </si>
  <si>
    <t>Circular</t>
  </si>
  <si>
    <t>Rectangular</t>
  </si>
  <si>
    <t>Basin Dimensions</t>
  </si>
  <si>
    <t>Segment</t>
  </si>
  <si>
    <t>Oxidant</t>
  </si>
  <si>
    <t>Baffling</t>
  </si>
  <si>
    <t>Segment 2</t>
  </si>
  <si>
    <t>Segment 3</t>
  </si>
  <si>
    <t>Segment 4</t>
  </si>
  <si>
    <t>Segment 5</t>
  </si>
  <si>
    <t>Segment 6</t>
  </si>
  <si>
    <t>Segment 7</t>
  </si>
  <si>
    <t>Segment 8</t>
  </si>
  <si>
    <t>Segment 9</t>
  </si>
  <si>
    <t>Day 1</t>
  </si>
  <si>
    <t>Effective
Volume</t>
  </si>
  <si>
    <t>Giardia
Inactivation
Ratio</t>
  </si>
  <si>
    <t>Temp ° C</t>
  </si>
  <si>
    <t>Water Depth (ft)</t>
  </si>
  <si>
    <t>Virus Log
Removal</t>
  </si>
  <si>
    <t>Giardia Log
Removal</t>
  </si>
  <si>
    <t>Virus
Inactivation
Ratio</t>
  </si>
  <si>
    <t>Total For Day</t>
  </si>
  <si>
    <t>Day 2</t>
  </si>
  <si>
    <t>Day 3</t>
  </si>
  <si>
    <t>Residual
mg/L</t>
  </si>
  <si>
    <t>Actual CT</t>
  </si>
  <si>
    <t>Day 5</t>
  </si>
  <si>
    <t>Day 6</t>
  </si>
  <si>
    <t>Day 7</t>
  </si>
  <si>
    <t>Day 9</t>
  </si>
  <si>
    <t>Day 8</t>
  </si>
  <si>
    <t>Day 10</t>
  </si>
  <si>
    <t>Day 11</t>
  </si>
  <si>
    <t>Day 12</t>
  </si>
  <si>
    <t>Day 13</t>
  </si>
  <si>
    <t>Day 14</t>
  </si>
  <si>
    <t>Day 15</t>
  </si>
  <si>
    <t>Day 16</t>
  </si>
  <si>
    <t>Day 17</t>
  </si>
  <si>
    <t>Day 18</t>
  </si>
  <si>
    <t>Day 4</t>
  </si>
  <si>
    <t>Day 19</t>
  </si>
  <si>
    <t>Day 20</t>
  </si>
  <si>
    <t>Day 21</t>
  </si>
  <si>
    <t>Day 22</t>
  </si>
  <si>
    <t>Day 23</t>
  </si>
  <si>
    <t>Day 24</t>
  </si>
  <si>
    <t>Day 25</t>
  </si>
  <si>
    <t>Day 26</t>
  </si>
  <si>
    <t>Day 27</t>
  </si>
  <si>
    <t>Day 28</t>
  </si>
  <si>
    <t>Day 29</t>
  </si>
  <si>
    <t>Day 30</t>
  </si>
  <si>
    <t>Day 31</t>
  </si>
  <si>
    <t>PWSID</t>
  </si>
  <si>
    <t>Plant Name</t>
  </si>
  <si>
    <t>Month &amp; Year</t>
  </si>
  <si>
    <t>Giardia and Virus Monthly Profile Summary</t>
  </si>
  <si>
    <t>Maximum</t>
  </si>
  <si>
    <t>Average</t>
  </si>
  <si>
    <t>Minimum</t>
  </si>
  <si>
    <t>Prepared By</t>
  </si>
  <si>
    <t xml:space="preserve"> Peak Flow Rate
(gpm)</t>
  </si>
  <si>
    <t>Remove Area (Gal)</t>
  </si>
  <si>
    <t>Area (Gal)</t>
  </si>
  <si>
    <t>Modified</t>
  </si>
  <si>
    <t>Water Treatment Plant Name</t>
  </si>
  <si>
    <t>John J. Doe</t>
  </si>
  <si>
    <t>AL5555555</t>
  </si>
  <si>
    <t xml:space="preserve">Version </t>
  </si>
  <si>
    <t>Created</t>
  </si>
  <si>
    <t>Giardia and Virus Profile Spreadsheet</t>
  </si>
  <si>
    <t>This spreadsheet will automatically calculate Giardia and virus inactivation/removal through the disinfection process. 
Begin by determining which segments of your water treatment plant will be used in the profile.  Gather information for these segments (up to nine spaces are provided) and fill out the "Segments" sheet with the necessary information.  Any segment not used should show "Not In Use" under the Treatment Segment.  Fill out all all the required information for each segment.
Next gather information each day for each segment during the peak hourly flow through your water treatment plant and fill out the "Calculation Page".  Once the required data is entered you can view the data easily on the "Month Summary" sheet or on the "Month Graph" sheet.
Submit Reports To:
ADEM - Drinking Water Branch
Post Office Box 301463
Montgomery, Alabama 36130-1463
References:   EPA's ct_chlorine.xls spreadhseet
                      EPA's Handbook: Optmizing Water Treatment Plant
                        Performance Using The Composite Correction Program
                        (1998 edition)
                      Surface Water Treatment Rule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</si>
</sst>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mmmm\-yy;@"/>
  </numFmts>
  <fonts count="16" x14ac:knownFonts="1">
    <font>
      <sz val="10"/>
      <name val="Arial"/>
    </font>
    <font>
      <sz val="10"/>
      <name val="Arial"/>
      <family val="2"/>
    </font>
    <font>
      <sz val="8"/>
      <name val="Arial"/>
      <family val="2"/>
    </font>
    <font>
      <b/>
      <sz val="8"/>
      <color indexed="81"/>
      <name val="Courier"/>
      <family val="3"/>
    </font>
    <font>
      <b/>
      <sz val="22"/>
      <name val="Arial"/>
      <family val="2"/>
    </font>
    <font>
      <sz val="10"/>
      <name val="Times New Roman"/>
      <family val="1"/>
    </font>
    <font>
      <sz val="18"/>
      <name val="Arial"/>
      <family val="2"/>
    </font>
    <font>
      <sz val="10"/>
      <color indexed="41"/>
      <name val="Arial"/>
      <family val="2"/>
    </font>
    <font>
      <sz val="10"/>
      <color indexed="9"/>
      <name val="Arial"/>
      <family val="2"/>
    </font>
    <font>
      <b/>
      <sz val="10"/>
      <name val="Arial"/>
      <family val="2"/>
    </font>
    <font>
      <sz val="10"/>
      <name val="Arial"/>
      <family val="2"/>
    </font>
    <font>
      <b/>
      <sz val="12"/>
      <name val="Arial"/>
      <family val="2"/>
    </font>
    <font>
      <b/>
      <sz val="18"/>
      <color indexed="12"/>
      <name val="Arial"/>
      <family val="2"/>
    </font>
    <font>
      <sz val="18"/>
      <color rgb="FF000000"/>
      <name val="Times New Roman"/>
      <family val="1"/>
    </font>
    <font>
      <sz val="12"/>
      <color rgb="FF000000"/>
      <name val="Times New Roman"/>
      <family val="1"/>
    </font>
    <font>
      <sz val="8"/>
      <color rgb="FF000000"/>
      <name val="Times New Roman"/>
      <family val="1"/>
    </font>
  </fonts>
  <fills count="4">
    <fill>
      <patternFill patternType="none"/>
    </fill>
    <fill>
      <patternFill patternType="gray125"/>
    </fill>
    <fill>
      <patternFill patternType="solid">
        <fgColor indexed="41"/>
        <bgColor indexed="64"/>
      </patternFill>
    </fill>
    <fill>
      <patternFill patternType="solid">
        <fgColor indexed="9"/>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medium">
        <color indexed="64"/>
      </bottom>
      <diagonal/>
    </border>
  </borders>
  <cellStyleXfs count="1">
    <xf numFmtId="0" fontId="0" fillId="0" borderId="0"/>
  </cellStyleXfs>
  <cellXfs count="93">
    <xf numFmtId="0" fontId="0" fillId="0" borderId="0" xfId="0"/>
    <xf numFmtId="0" fontId="0" fillId="0" borderId="0" xfId="0" applyBorder="1"/>
    <xf numFmtId="0" fontId="0" fillId="0" borderId="0" xfId="0" applyAlignment="1">
      <alignment horizontal="center"/>
    </xf>
    <xf numFmtId="0" fontId="0" fillId="2" borderId="0" xfId="0" applyFill="1" applyBorder="1"/>
    <xf numFmtId="0" fontId="0" fillId="0" borderId="0" xfId="0" applyFill="1" applyBorder="1"/>
    <xf numFmtId="0" fontId="0" fillId="2" borderId="1" xfId="0" applyFill="1" applyBorder="1"/>
    <xf numFmtId="0" fontId="0" fillId="2" borderId="2" xfId="0" applyFill="1" applyBorder="1" applyAlignment="1">
      <alignment horizontal="center"/>
    </xf>
    <xf numFmtId="0" fontId="0" fillId="2" borderId="3" xfId="0" applyFill="1" applyBorder="1"/>
    <xf numFmtId="0" fontId="0" fillId="2" borderId="4" xfId="0" applyFill="1" applyBorder="1"/>
    <xf numFmtId="0" fontId="0" fillId="2" borderId="0" xfId="0" applyFill="1" applyBorder="1" applyAlignment="1">
      <alignment horizontal="center"/>
    </xf>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7" xfId="0" applyFill="1" applyBorder="1" applyAlignment="1">
      <alignment horizontal="center"/>
    </xf>
    <xf numFmtId="0" fontId="0" fillId="0" borderId="0" xfId="0" applyFill="1"/>
    <xf numFmtId="0" fontId="0" fillId="2" borderId="2" xfId="0" applyFill="1" applyBorder="1" applyAlignment="1">
      <alignment horizontal="center" wrapText="1"/>
    </xf>
    <xf numFmtId="0" fontId="0" fillId="2" borderId="3" xfId="0" applyFill="1" applyBorder="1" applyAlignment="1">
      <alignment horizontal="center" wrapText="1"/>
    </xf>
    <xf numFmtId="2" fontId="0" fillId="2" borderId="0" xfId="0" applyNumberFormat="1" applyFill="1" applyBorder="1" applyAlignment="1">
      <alignment horizontal="center"/>
    </xf>
    <xf numFmtId="2" fontId="0" fillId="2" borderId="5" xfId="0" applyNumberFormat="1" applyFill="1" applyBorder="1" applyAlignment="1">
      <alignment horizontal="center"/>
    </xf>
    <xf numFmtId="2" fontId="0" fillId="2" borderId="2" xfId="0" applyNumberFormat="1" applyFill="1" applyBorder="1" applyAlignment="1">
      <alignment horizontal="center"/>
    </xf>
    <xf numFmtId="2" fontId="0" fillId="2" borderId="3" xfId="0" applyNumberFormat="1" applyFill="1" applyBorder="1" applyAlignment="1">
      <alignment horizontal="center"/>
    </xf>
    <xf numFmtId="0" fontId="0" fillId="2" borderId="9" xfId="0" applyFill="1" applyBorder="1"/>
    <xf numFmtId="0" fontId="0" fillId="2" borderId="10" xfId="0" applyFill="1" applyBorder="1"/>
    <xf numFmtId="2" fontId="0" fillId="2" borderId="11" xfId="0" applyNumberFormat="1" applyFill="1" applyBorder="1" applyAlignment="1">
      <alignment horizontal="center"/>
    </xf>
    <xf numFmtId="2" fontId="0" fillId="2" borderId="12" xfId="0" applyNumberFormat="1" applyFill="1" applyBorder="1" applyAlignment="1">
      <alignment horizontal="center"/>
    </xf>
    <xf numFmtId="0" fontId="0" fillId="2" borderId="13" xfId="0" applyFill="1" applyBorder="1"/>
    <xf numFmtId="164" fontId="0" fillId="2" borderId="1" xfId="0" applyNumberFormat="1" applyFill="1" applyBorder="1" applyAlignment="1">
      <alignment horizontal="center"/>
    </xf>
    <xf numFmtId="164" fontId="0" fillId="2" borderId="4" xfId="0" applyNumberFormat="1" applyFill="1" applyBorder="1" applyAlignment="1">
      <alignment horizontal="center"/>
    </xf>
    <xf numFmtId="164" fontId="0" fillId="2" borderId="6" xfId="0" applyNumberFormat="1" applyFill="1" applyBorder="1" applyAlignment="1">
      <alignment horizontal="center"/>
    </xf>
    <xf numFmtId="164" fontId="0" fillId="2" borderId="11" xfId="0" applyNumberFormat="1" applyFill="1" applyBorder="1" applyAlignment="1">
      <alignment horizontal="center"/>
    </xf>
    <xf numFmtId="164" fontId="0" fillId="2" borderId="12" xfId="0" applyNumberFormat="1" applyFill="1" applyBorder="1" applyAlignment="1">
      <alignment horizontal="center"/>
    </xf>
    <xf numFmtId="164" fontId="0" fillId="2" borderId="14" xfId="0" applyNumberFormat="1" applyFill="1" applyBorder="1" applyAlignment="1">
      <alignment horizontal="center"/>
    </xf>
    <xf numFmtId="0" fontId="0" fillId="0" borderId="13" xfId="0" applyFill="1" applyBorder="1" applyAlignment="1" applyProtection="1">
      <alignment horizontal="center"/>
      <protection locked="0"/>
    </xf>
    <xf numFmtId="0" fontId="0" fillId="0" borderId="1" xfId="0" applyFill="1" applyBorder="1" applyAlignment="1" applyProtection="1">
      <alignment horizontal="center"/>
      <protection locked="0"/>
    </xf>
    <xf numFmtId="0" fontId="0" fillId="0" borderId="9" xfId="0" applyFill="1" applyBorder="1" applyAlignment="1" applyProtection="1">
      <alignment horizontal="center"/>
      <protection locked="0"/>
    </xf>
    <xf numFmtId="0" fontId="0" fillId="0" borderId="11" xfId="0" applyFill="1" applyBorder="1" applyAlignment="1" applyProtection="1">
      <alignment horizontal="center"/>
      <protection locked="0"/>
    </xf>
    <xf numFmtId="0" fontId="6" fillId="0" borderId="0" xfId="0" applyFont="1" applyFill="1" applyAlignment="1"/>
    <xf numFmtId="0" fontId="1" fillId="0" borderId="13" xfId="0" applyFont="1" applyFill="1" applyBorder="1" applyAlignment="1">
      <alignment horizontal="center" wrapText="1"/>
    </xf>
    <xf numFmtId="0" fontId="1" fillId="0" borderId="10" xfId="0" applyFont="1" applyFill="1" applyBorder="1" applyAlignment="1">
      <alignment horizontal="center" wrapText="1"/>
    </xf>
    <xf numFmtId="0" fontId="1" fillId="0" borderId="11" xfId="0" applyFont="1" applyBorder="1" applyAlignment="1">
      <alignment horizontal="center"/>
    </xf>
    <xf numFmtId="2" fontId="1" fillId="0" borderId="11" xfId="0" applyNumberFormat="1" applyFont="1" applyBorder="1" applyAlignment="1">
      <alignment horizontal="center"/>
    </xf>
    <xf numFmtId="2" fontId="1" fillId="0" borderId="2" xfId="0" applyNumberFormat="1" applyFont="1" applyBorder="1" applyAlignment="1">
      <alignment horizontal="center"/>
    </xf>
    <xf numFmtId="0" fontId="1" fillId="0" borderId="12" xfId="0" applyFont="1" applyBorder="1" applyAlignment="1">
      <alignment horizontal="center"/>
    </xf>
    <xf numFmtId="2" fontId="1" fillId="0" borderId="12" xfId="0" applyNumberFormat="1" applyFont="1" applyBorder="1" applyAlignment="1">
      <alignment horizontal="center"/>
    </xf>
    <xf numFmtId="2" fontId="1" fillId="0" borderId="0" xfId="0" applyNumberFormat="1" applyFont="1" applyBorder="1" applyAlignment="1">
      <alignment horizontal="center"/>
    </xf>
    <xf numFmtId="0" fontId="1" fillId="0" borderId="14" xfId="0" applyFont="1" applyBorder="1" applyAlignment="1">
      <alignment horizontal="center"/>
    </xf>
    <xf numFmtId="2" fontId="1" fillId="0" borderId="14" xfId="0" applyNumberFormat="1" applyFont="1" applyBorder="1" applyAlignment="1">
      <alignment horizontal="center"/>
    </xf>
    <xf numFmtId="2" fontId="1" fillId="0" borderId="7" xfId="0" applyNumberFormat="1" applyFont="1" applyBorder="1" applyAlignment="1">
      <alignment horizontal="center"/>
    </xf>
    <xf numFmtId="0" fontId="0" fillId="0" borderId="0" xfId="0" applyFill="1" applyAlignment="1">
      <alignment horizontal="center"/>
    </xf>
    <xf numFmtId="2" fontId="0" fillId="2" borderId="13" xfId="0" applyNumberFormat="1" applyFill="1" applyBorder="1" applyAlignment="1">
      <alignment horizontal="center"/>
    </xf>
    <xf numFmtId="0" fontId="7" fillId="2" borderId="0" xfId="0" applyFont="1" applyFill="1" applyBorder="1"/>
    <xf numFmtId="164" fontId="7" fillId="2" borderId="0" xfId="0" applyNumberFormat="1" applyFont="1" applyFill="1" applyBorder="1"/>
    <xf numFmtId="0" fontId="8" fillId="0" borderId="0" xfId="0" applyFont="1" applyFill="1" applyAlignment="1">
      <alignment horizontal="center"/>
    </xf>
    <xf numFmtId="0" fontId="8" fillId="0" borderId="0" xfId="0" applyFont="1" applyFill="1" applyBorder="1" applyAlignment="1">
      <alignment horizontal="center"/>
    </xf>
    <xf numFmtId="0" fontId="0" fillId="2" borderId="1" xfId="0" applyFill="1" applyBorder="1" applyAlignment="1"/>
    <xf numFmtId="0" fontId="0" fillId="2" borderId="4" xfId="0" applyFill="1" applyBorder="1" applyAlignment="1"/>
    <xf numFmtId="0" fontId="9" fillId="3" borderId="0" xfId="0" applyFont="1" applyFill="1"/>
    <xf numFmtId="0" fontId="1" fillId="3" borderId="0" xfId="0" applyFont="1" applyFill="1"/>
    <xf numFmtId="0" fontId="10" fillId="3" borderId="0" xfId="0" applyFont="1" applyFill="1"/>
    <xf numFmtId="0" fontId="0" fillId="0" borderId="0" xfId="0" applyProtection="1"/>
    <xf numFmtId="0" fontId="5" fillId="0" borderId="0" xfId="0" applyFont="1" applyFill="1" applyProtection="1"/>
    <xf numFmtId="0" fontId="0" fillId="0" borderId="0" xfId="0" applyFill="1" applyProtection="1"/>
    <xf numFmtId="0" fontId="9" fillId="3" borderId="0" xfId="0" applyFont="1" applyFill="1" applyAlignment="1">
      <alignment horizontal="left"/>
    </xf>
    <xf numFmtId="14" fontId="9" fillId="3" borderId="0" xfId="0" applyNumberFormat="1" applyFont="1" applyFill="1"/>
    <xf numFmtId="0" fontId="11" fillId="3" borderId="0" xfId="0" applyFont="1" applyFill="1" applyAlignment="1">
      <alignment vertical="top" wrapText="1"/>
    </xf>
    <xf numFmtId="0" fontId="0" fillId="3" borderId="0" xfId="0" applyFill="1"/>
    <xf numFmtId="0" fontId="11" fillId="0" borderId="0" xfId="0" applyFont="1" applyFill="1" applyAlignment="1">
      <alignment vertical="top" wrapText="1"/>
    </xf>
    <xf numFmtId="0" fontId="1" fillId="0" borderId="15" xfId="0" applyFont="1" applyBorder="1" applyAlignment="1">
      <alignment horizontal="center"/>
    </xf>
    <xf numFmtId="2" fontId="1" fillId="0" borderId="16" xfId="0" applyNumberFormat="1" applyFont="1" applyBorder="1" applyAlignment="1">
      <alignment horizontal="center"/>
    </xf>
    <xf numFmtId="2" fontId="1" fillId="0" borderId="15" xfId="0" applyNumberFormat="1" applyFont="1" applyBorder="1" applyAlignment="1">
      <alignment horizontal="center"/>
    </xf>
    <xf numFmtId="0" fontId="1" fillId="0" borderId="17" xfId="0" applyFont="1" applyBorder="1" applyAlignment="1">
      <alignment horizontal="center"/>
    </xf>
    <xf numFmtId="2" fontId="1" fillId="0" borderId="18" xfId="0" applyNumberFormat="1" applyFont="1" applyBorder="1" applyAlignment="1">
      <alignment horizontal="center"/>
    </xf>
    <xf numFmtId="2" fontId="1" fillId="0" borderId="17" xfId="0" applyNumberFormat="1" applyFont="1" applyBorder="1" applyAlignment="1">
      <alignment horizontal="center"/>
    </xf>
    <xf numFmtId="0" fontId="1" fillId="0" borderId="19" xfId="0" applyFont="1" applyBorder="1" applyAlignment="1">
      <alignment horizontal="center"/>
    </xf>
    <xf numFmtId="2" fontId="1" fillId="0" borderId="20" xfId="0" applyNumberFormat="1" applyFont="1" applyBorder="1" applyAlignment="1">
      <alignment horizontal="center"/>
    </xf>
    <xf numFmtId="2" fontId="1" fillId="0" borderId="19" xfId="0" applyNumberFormat="1" applyFont="1" applyBorder="1" applyAlignment="1">
      <alignment horizontal="center"/>
    </xf>
    <xf numFmtId="0" fontId="12" fillId="3" borderId="0" xfId="0" applyFont="1" applyFill="1" applyAlignment="1">
      <alignment horizontal="center"/>
    </xf>
    <xf numFmtId="0" fontId="11" fillId="3" borderId="0" xfId="0" applyFont="1" applyFill="1" applyAlignment="1">
      <alignment horizontal="left" vertical="top" wrapText="1"/>
    </xf>
    <xf numFmtId="0" fontId="4" fillId="2" borderId="11" xfId="0" applyFont="1" applyFill="1" applyBorder="1" applyAlignment="1">
      <alignment horizontal="center" vertical="center" textRotation="90"/>
    </xf>
    <xf numFmtId="0" fontId="4" fillId="2" borderId="12" xfId="0" applyFont="1" applyFill="1" applyBorder="1" applyAlignment="1">
      <alignment horizontal="center" vertical="center" textRotation="90"/>
    </xf>
    <xf numFmtId="0" fontId="4" fillId="2" borderId="14" xfId="0" applyFont="1" applyFill="1" applyBorder="1" applyAlignment="1">
      <alignment horizontal="center" vertical="center" textRotation="90"/>
    </xf>
    <xf numFmtId="0" fontId="6" fillId="0" borderId="0" xfId="0" applyFont="1" applyFill="1" applyAlignment="1" applyProtection="1">
      <alignment horizontal="center"/>
    </xf>
    <xf numFmtId="165" fontId="5" fillId="0" borderId="10" xfId="0" applyNumberFormat="1" applyFont="1" applyFill="1" applyBorder="1" applyAlignment="1" applyProtection="1">
      <alignment horizontal="left"/>
      <protection locked="0"/>
    </xf>
    <xf numFmtId="0" fontId="0" fillId="0" borderId="2" xfId="0" applyFill="1" applyBorder="1" applyAlignment="1" applyProtection="1">
      <alignment horizontal="left"/>
      <protection locked="0"/>
    </xf>
    <xf numFmtId="0" fontId="0" fillId="0" borderId="7" xfId="0" applyFill="1" applyBorder="1" applyAlignment="1" applyProtection="1">
      <alignment horizontal="left"/>
      <protection locked="0"/>
    </xf>
    <xf numFmtId="0" fontId="5" fillId="0" borderId="7" xfId="0" applyFont="1" applyFill="1" applyBorder="1" applyAlignment="1" applyProtection="1">
      <alignment horizontal="left"/>
      <protection locked="0"/>
    </xf>
    <xf numFmtId="0" fontId="5" fillId="0" borderId="10" xfId="0" applyFont="1" applyFill="1" applyBorder="1" applyAlignment="1" applyProtection="1">
      <alignment horizontal="left"/>
      <protection locked="0"/>
    </xf>
    <xf numFmtId="0" fontId="0" fillId="0" borderId="2" xfId="0" applyFill="1" applyBorder="1" applyAlignment="1" applyProtection="1">
      <alignment horizontal="left"/>
    </xf>
    <xf numFmtId="0" fontId="0" fillId="0" borderId="7" xfId="0" applyFill="1" applyBorder="1" applyAlignment="1" applyProtection="1">
      <alignment horizontal="left"/>
    </xf>
    <xf numFmtId="0" fontId="5" fillId="0" borderId="7" xfId="0" applyFont="1" applyFill="1" applyBorder="1" applyAlignment="1" applyProtection="1">
      <alignment horizontal="left"/>
    </xf>
    <xf numFmtId="0" fontId="5" fillId="0" borderId="10" xfId="0" applyFont="1" applyFill="1" applyBorder="1" applyAlignment="1" applyProtection="1">
      <alignment horizontal="left"/>
    </xf>
    <xf numFmtId="165" fontId="5" fillId="0" borderId="10" xfId="0" applyNumberFormat="1" applyFont="1" applyFill="1" applyBorder="1" applyAlignment="1" applyProtection="1">
      <alignment horizontal="left"/>
    </xf>
  </cellXfs>
  <cellStyles count="1">
    <cellStyle name="Normal" xfId="0" builtinId="0"/>
  </cellStyles>
  <dxfs count="3">
    <dxf>
      <fill>
        <patternFill>
          <bgColor indexed="10"/>
        </patternFill>
      </fill>
    </dxf>
    <dxf>
      <fill>
        <patternFill>
          <bgColor indexed="13"/>
        </patternFill>
      </fill>
    </dxf>
    <dxf>
      <font>
        <condense val="0"/>
        <extend val="0"/>
        <color auto="1"/>
      </font>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Virus Removal</a:t>
            </a:r>
          </a:p>
        </c:rich>
      </c:tx>
      <c:layout>
        <c:manualLayout>
          <c:xMode val="edge"/>
          <c:yMode val="edge"/>
          <c:x val="0.40151264340039333"/>
          <c:y val="2.7507155945129501E-2"/>
        </c:manualLayout>
      </c:layout>
      <c:overlay val="0"/>
      <c:spPr>
        <a:noFill/>
        <a:ln w="25400">
          <a:noFill/>
        </a:ln>
      </c:spPr>
    </c:title>
    <c:autoTitleDeleted val="0"/>
    <c:plotArea>
      <c:layout>
        <c:manualLayout>
          <c:layoutTarget val="inner"/>
          <c:xMode val="edge"/>
          <c:yMode val="edge"/>
          <c:x val="0.12930066258614617"/>
          <c:y val="0.12378237350283568"/>
          <c:w val="0.83251479244062532"/>
          <c:h val="0.7186254461692404"/>
        </c:manualLayout>
      </c:layout>
      <c:lineChart>
        <c:grouping val="standard"/>
        <c:varyColors val="0"/>
        <c:ser>
          <c:idx val="0"/>
          <c:order val="0"/>
          <c:tx>
            <c:v>Virus Log Removal</c:v>
          </c:tx>
          <c:spPr>
            <a:ln w="38100">
              <a:solidFill>
                <a:srgbClr val="0000FF"/>
              </a:solidFill>
              <a:prstDash val="solid"/>
            </a:ln>
          </c:spPr>
          <c:marker>
            <c:symbol val="none"/>
          </c:marker>
          <c:cat>
            <c:numRef>
              <c:f>'Month Summary'!$B$10:$B$40</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'Month Summary'!$C$10:$C$40</c:f>
              <c:numCache>
                <c:formatCode>0.00</c:formatCode>
                <c:ptCount val="31"/>
                <c:pt idx="0">
                  <c:v>146.49565716496525</c:v>
                </c:pt>
                <c:pt idx="1">
                  <c:v>146.49565716496525</c:v>
                </c:pt>
                <c:pt idx="2">
                  <c:v>146.49565716496525</c:v>
                </c:pt>
                <c:pt idx="3">
                  <c:v>146.49565716496525</c:v>
                </c:pt>
                <c:pt idx="4">
                  <c:v>146.49565716496525</c:v>
                </c:pt>
                <c:pt idx="5">
                  <c:v>146.49565716496525</c:v>
                </c:pt>
                <c:pt idx="6">
                  <c:v>146.49565716496525</c:v>
                </c:pt>
                <c:pt idx="7">
                  <c:v>146.49565716496525</c:v>
                </c:pt>
                <c:pt idx="8">
                  <c:v>146.49565716496525</c:v>
                </c:pt>
                <c:pt idx="9">
                  <c:v>146.49565716496525</c:v>
                </c:pt>
                <c:pt idx="10">
                  <c:v>146.49565716496525</c:v>
                </c:pt>
                <c:pt idx="11">
                  <c:v>146.49565716496525</c:v>
                </c:pt>
                <c:pt idx="12">
                  <c:v>146.49565716496525</c:v>
                </c:pt>
                <c:pt idx="13">
                  <c:v>146.49565716496525</c:v>
                </c:pt>
                <c:pt idx="14">
                  <c:v>3.7268927194332697</c:v>
                </c:pt>
                <c:pt idx="15">
                  <c:v>3.8118387403764853</c:v>
                </c:pt>
                <c:pt idx="16">
                  <c:v>4.1224200794634838</c:v>
                </c:pt>
                <c:pt idx="17">
                  <c:v>4.2306326187408043</c:v>
                </c:pt>
                <c:pt idx="18">
                  <c:v>2.8849434613260505</c:v>
                </c:pt>
                <c:pt idx="19">
                  <c:v>3.7059315743458638</c:v>
                </c:pt>
                <c:pt idx="20">
                  <c:v>5.1753398943270694</c:v>
                </c:pt>
                <c:pt idx="21">
                  <c:v>4.5008426918913518</c:v>
                </c:pt>
                <c:pt idx="22">
                  <c:v>2.5659677607461462</c:v>
                </c:pt>
                <c:pt idx="23">
                  <c:v>3.7268927194332697</c:v>
                </c:pt>
                <c:pt idx="24">
                  <c:v>3.7268927194332697</c:v>
                </c:pt>
                <c:pt idx="25">
                  <c:v>3.7268927194332697</c:v>
                </c:pt>
                <c:pt idx="26">
                  <c:v>3.7268927194332697</c:v>
                </c:pt>
                <c:pt idx="27">
                  <c:v>3.7268927194332697</c:v>
                </c:pt>
                <c:pt idx="28">
                  <c:v>3.7268927194332697</c:v>
                </c:pt>
                <c:pt idx="29">
                  <c:v>3.7268927194332697</c:v>
                </c:pt>
                <c:pt idx="30">
                  <c:v>3.7268927194332697</c:v>
                </c:pt>
              </c:numCache>
            </c:numRef>
          </c:val>
          <c:smooth val="0"/>
        </c:ser>
        <c:ser>
          <c:idx val="1"/>
          <c:order val="1"/>
          <c:tx>
            <c:v>Virus Inactivation Ratio</c:v>
          </c:tx>
          <c:spPr>
            <a:ln w="38100">
              <a:solidFill>
                <a:srgbClr val="FF0000"/>
              </a:solidFill>
              <a:prstDash val="solid"/>
            </a:ln>
          </c:spPr>
          <c:marker>
            <c:symbol val="none"/>
          </c:marker>
          <c:val>
            <c:numRef>
              <c:f>'Month Summary'!$E$10:$E$40</c:f>
              <c:numCache>
                <c:formatCode>0.00</c:formatCode>
                <c:ptCount val="31"/>
                <c:pt idx="0">
                  <c:v>36.623914291241313</c:v>
                </c:pt>
                <c:pt idx="1">
                  <c:v>36.623914291241313</c:v>
                </c:pt>
                <c:pt idx="2">
                  <c:v>36.623914291241313</c:v>
                </c:pt>
                <c:pt idx="3">
                  <c:v>36.623914291241313</c:v>
                </c:pt>
                <c:pt idx="4">
                  <c:v>36.623914291241313</c:v>
                </c:pt>
                <c:pt idx="5">
                  <c:v>36.623914291241313</c:v>
                </c:pt>
                <c:pt idx="6">
                  <c:v>36.623914291241313</c:v>
                </c:pt>
                <c:pt idx="7">
                  <c:v>36.623914291241313</c:v>
                </c:pt>
                <c:pt idx="8">
                  <c:v>36.623914291241313</c:v>
                </c:pt>
                <c:pt idx="9">
                  <c:v>36.623914291241313</c:v>
                </c:pt>
                <c:pt idx="10">
                  <c:v>36.623914291241313</c:v>
                </c:pt>
                <c:pt idx="11">
                  <c:v>36.623914291241313</c:v>
                </c:pt>
                <c:pt idx="12">
                  <c:v>36.623914291241313</c:v>
                </c:pt>
                <c:pt idx="13">
                  <c:v>36.623914291241313</c:v>
                </c:pt>
                <c:pt idx="14">
                  <c:v>0.93172317985831743</c:v>
                </c:pt>
                <c:pt idx="15">
                  <c:v>0.95295968509412132</c:v>
                </c:pt>
                <c:pt idx="16">
                  <c:v>1.0306050198658709</c:v>
                </c:pt>
                <c:pt idx="17">
                  <c:v>1.0576581546852011</c:v>
                </c:pt>
                <c:pt idx="18">
                  <c:v>0.72123586533151263</c:v>
                </c:pt>
                <c:pt idx="19">
                  <c:v>0.92648289358646596</c:v>
                </c:pt>
                <c:pt idx="20">
                  <c:v>1.2938349735817674</c:v>
                </c:pt>
                <c:pt idx="21">
                  <c:v>1.1252106729728379</c:v>
                </c:pt>
                <c:pt idx="22">
                  <c:v>0.64149194018653655</c:v>
                </c:pt>
                <c:pt idx="23">
                  <c:v>0.93172317985831743</c:v>
                </c:pt>
                <c:pt idx="24">
                  <c:v>0.93172317985831743</c:v>
                </c:pt>
                <c:pt idx="25">
                  <c:v>0.93172317985831743</c:v>
                </c:pt>
                <c:pt idx="26">
                  <c:v>0.93172317985831743</c:v>
                </c:pt>
                <c:pt idx="27">
                  <c:v>0.93172317985831743</c:v>
                </c:pt>
                <c:pt idx="28">
                  <c:v>0.93172317985831743</c:v>
                </c:pt>
                <c:pt idx="29">
                  <c:v>0.93172317985831743</c:v>
                </c:pt>
                <c:pt idx="30">
                  <c:v>0.93172317985831743</c:v>
                </c:pt>
              </c:numCache>
            </c:numRef>
          </c:val>
          <c:smooth val="0"/>
        </c:ser>
        <c:dLbls>
          <c:showLegendKey val="0"/>
          <c:showVal val="0"/>
          <c:showCatName val="0"/>
          <c:showSerName val="0"/>
          <c:showPercent val="0"/>
          <c:showBubbleSize val="0"/>
        </c:dLbls>
        <c:smooth val="0"/>
        <c:axId val="413468160"/>
        <c:axId val="413468552"/>
      </c:lineChart>
      <c:catAx>
        <c:axId val="413468160"/>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Day of Month</a:t>
                </a:r>
              </a:p>
            </c:rich>
          </c:tx>
          <c:layout>
            <c:manualLayout>
              <c:xMode val="edge"/>
              <c:yMode val="edge"/>
              <c:x val="0.48544454961032679"/>
              <c:y val="0.906018125092853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413468552"/>
        <c:crosses val="autoZero"/>
        <c:auto val="1"/>
        <c:lblAlgn val="ctr"/>
        <c:lblOffset val="100"/>
        <c:tickLblSkip val="1"/>
        <c:tickMarkSkip val="1"/>
        <c:noMultiLvlLbl val="0"/>
      </c:catAx>
      <c:valAx>
        <c:axId val="41346855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Log Removal and Inactivation Ratio</a:t>
                </a:r>
              </a:p>
            </c:rich>
          </c:tx>
          <c:layout>
            <c:manualLayout>
              <c:xMode val="edge"/>
              <c:yMode val="edge"/>
              <c:x val="3.28923078988528E-2"/>
              <c:y val="0.25444163819145249"/>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413468160"/>
        <c:crosses val="autoZero"/>
        <c:crossBetween val="between"/>
      </c:valAx>
      <c:spPr>
        <a:noFill/>
        <a:ln w="12700">
          <a:solidFill>
            <a:srgbClr val="808080"/>
          </a:solidFill>
          <a:prstDash val="solid"/>
        </a:ln>
      </c:spPr>
    </c:plotArea>
    <c:legend>
      <c:legendPos val="t"/>
      <c:legendEntry>
        <c:idx val="0"/>
        <c:txPr>
          <a:bodyPr/>
          <a:lstStyle/>
          <a:p>
            <a:pPr>
              <a:defRPr sz="735" b="0" i="0" u="none" strike="noStrike" baseline="0">
                <a:solidFill>
                  <a:srgbClr val="000000"/>
                </a:solidFill>
                <a:latin typeface="Arial"/>
                <a:ea typeface="Arial"/>
                <a:cs typeface="Arial"/>
              </a:defRPr>
            </a:pPr>
            <a:endParaRPr lang="en-US"/>
          </a:p>
        </c:txPr>
      </c:legendEntry>
      <c:legendEntry>
        <c:idx val="1"/>
        <c:txPr>
          <a:bodyPr/>
          <a:lstStyle/>
          <a:p>
            <a:pPr>
              <a:defRPr sz="735" b="0" i="0" u="none" strike="noStrike" baseline="0">
                <a:solidFill>
                  <a:srgbClr val="000000"/>
                </a:solidFill>
                <a:latin typeface="Arial"/>
                <a:ea typeface="Arial"/>
                <a:cs typeface="Arial"/>
              </a:defRPr>
            </a:pPr>
            <a:endParaRPr lang="en-US"/>
          </a:p>
        </c:txPr>
      </c:legendEntry>
      <c:layout>
        <c:manualLayout>
          <c:xMode val="edge"/>
          <c:yMode val="edge"/>
          <c:x val="0.80642782823502557"/>
          <c:y val="1.7191898182538502E-2"/>
          <c:w val="0.17693779326177583"/>
          <c:h val="7.7364037042539496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Giardia Removal</a:t>
            </a:r>
          </a:p>
        </c:rich>
      </c:tx>
      <c:layout>
        <c:manualLayout>
          <c:xMode val="edge"/>
          <c:yMode val="edge"/>
          <c:x val="0.3890361789067554"/>
          <c:y val="2.7697573924932387E-2"/>
        </c:manualLayout>
      </c:layout>
      <c:overlay val="0"/>
      <c:spPr>
        <a:noFill/>
        <a:ln w="25400">
          <a:noFill/>
        </a:ln>
      </c:spPr>
    </c:title>
    <c:autoTitleDeleted val="0"/>
    <c:plotArea>
      <c:layout>
        <c:manualLayout>
          <c:layoutTarget val="inner"/>
          <c:xMode val="edge"/>
          <c:yMode val="edge"/>
          <c:x val="0.10548211947817188"/>
          <c:y val="0.12463949419302486"/>
          <c:w val="0.85633333554859958"/>
          <c:h val="0.71667709160989301"/>
        </c:manualLayout>
      </c:layout>
      <c:lineChart>
        <c:grouping val="standard"/>
        <c:varyColors val="0"/>
        <c:ser>
          <c:idx val="0"/>
          <c:order val="0"/>
          <c:tx>
            <c:v>Giardia Log Removal</c:v>
          </c:tx>
          <c:spPr>
            <a:ln w="38100">
              <a:solidFill>
                <a:srgbClr val="0000FF"/>
              </a:solidFill>
              <a:prstDash val="solid"/>
            </a:ln>
          </c:spPr>
          <c:marker>
            <c:symbol val="none"/>
          </c:marker>
          <c:cat>
            <c:numRef>
              <c:f>'Month Summary'!$B$10:$B$40</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'Month Summary'!$D$10:$D$40</c:f>
              <c:numCache>
                <c:formatCode>0.00</c:formatCode>
                <c:ptCount val="31"/>
                <c:pt idx="0">
                  <c:v>5.3142450391756331</c:v>
                </c:pt>
                <c:pt idx="1">
                  <c:v>5.3142450391756331</c:v>
                </c:pt>
                <c:pt idx="2">
                  <c:v>5.3142450391756331</c:v>
                </c:pt>
                <c:pt idx="3">
                  <c:v>5.3142450391756331</c:v>
                </c:pt>
                <c:pt idx="4">
                  <c:v>5.3142450391756331</c:v>
                </c:pt>
                <c:pt idx="5">
                  <c:v>5.3142450391756331</c:v>
                </c:pt>
                <c:pt idx="6">
                  <c:v>5.3142450391756331</c:v>
                </c:pt>
                <c:pt idx="7">
                  <c:v>5.3142450391756331</c:v>
                </c:pt>
                <c:pt idx="8">
                  <c:v>5.3142450391756331</c:v>
                </c:pt>
                <c:pt idx="9">
                  <c:v>5.3142450391756331</c:v>
                </c:pt>
                <c:pt idx="10">
                  <c:v>5.3142450391756331</c:v>
                </c:pt>
                <c:pt idx="11">
                  <c:v>5.3142450391756331</c:v>
                </c:pt>
                <c:pt idx="12">
                  <c:v>5.3142450391756331</c:v>
                </c:pt>
                <c:pt idx="13">
                  <c:v>5.3142450391756331</c:v>
                </c:pt>
                <c:pt idx="14">
                  <c:v>0.11557988836844089</c:v>
                </c:pt>
                <c:pt idx="15">
                  <c:v>0.10704198790186656</c:v>
                </c:pt>
                <c:pt idx="16">
                  <c:v>0.12595800696326448</c:v>
                </c:pt>
                <c:pt idx="17">
                  <c:v>0.16094122411830269</c:v>
                </c:pt>
                <c:pt idx="18">
                  <c:v>9.4889718101434636E-2</c:v>
                </c:pt>
                <c:pt idx="19">
                  <c:v>0.11438982144797637</c:v>
                </c:pt>
                <c:pt idx="20">
                  <c:v>0.16182329662462355</c:v>
                </c:pt>
                <c:pt idx="21">
                  <c:v>0.13869586604212908</c:v>
                </c:pt>
                <c:pt idx="22">
                  <c:v>9.0296453622831271E-2</c:v>
                </c:pt>
                <c:pt idx="23">
                  <c:v>0.12429640719249138</c:v>
                </c:pt>
                <c:pt idx="24">
                  <c:v>0.11557988836844089</c:v>
                </c:pt>
                <c:pt idx="25">
                  <c:v>0.11557988836844089</c:v>
                </c:pt>
                <c:pt idx="26">
                  <c:v>0.11557988836844089</c:v>
                </c:pt>
                <c:pt idx="27">
                  <c:v>0.11557988836844089</c:v>
                </c:pt>
                <c:pt idx="28">
                  <c:v>0.11557988836844089</c:v>
                </c:pt>
                <c:pt idx="29">
                  <c:v>0.11557988836844089</c:v>
                </c:pt>
                <c:pt idx="30">
                  <c:v>0.11557988836844089</c:v>
                </c:pt>
              </c:numCache>
            </c:numRef>
          </c:val>
          <c:smooth val="0"/>
        </c:ser>
        <c:ser>
          <c:idx val="1"/>
          <c:order val="1"/>
          <c:tx>
            <c:v>Giardia Inactivation Ratio</c:v>
          </c:tx>
          <c:spPr>
            <a:ln w="38100">
              <a:solidFill>
                <a:srgbClr val="FF0000"/>
              </a:solidFill>
              <a:prstDash val="solid"/>
            </a:ln>
          </c:spPr>
          <c:marker>
            <c:symbol val="none"/>
          </c:marker>
          <c:val>
            <c:numRef>
              <c:f>'Month Summary'!$F$10:$F$40</c:f>
              <c:numCache>
                <c:formatCode>0.00</c:formatCode>
                <c:ptCount val="31"/>
                <c:pt idx="0">
                  <c:v>1.7714150130585442</c:v>
                </c:pt>
                <c:pt idx="1">
                  <c:v>1.7714150130585442</c:v>
                </c:pt>
                <c:pt idx="2">
                  <c:v>1.7714150130585442</c:v>
                </c:pt>
                <c:pt idx="3">
                  <c:v>1.7714150130585442</c:v>
                </c:pt>
                <c:pt idx="4">
                  <c:v>1.7714150130585442</c:v>
                </c:pt>
                <c:pt idx="5">
                  <c:v>1.7714150130585442</c:v>
                </c:pt>
                <c:pt idx="6">
                  <c:v>1.7714150130585442</c:v>
                </c:pt>
                <c:pt idx="7">
                  <c:v>1.7714150130585442</c:v>
                </c:pt>
                <c:pt idx="8">
                  <c:v>1.7714150130585442</c:v>
                </c:pt>
                <c:pt idx="9">
                  <c:v>1.7714150130585442</c:v>
                </c:pt>
                <c:pt idx="10">
                  <c:v>1.7714150130585442</c:v>
                </c:pt>
                <c:pt idx="11">
                  <c:v>1.7714150130585442</c:v>
                </c:pt>
                <c:pt idx="12">
                  <c:v>1.7714150130585442</c:v>
                </c:pt>
                <c:pt idx="13">
                  <c:v>1.7714150130585442</c:v>
                </c:pt>
                <c:pt idx="14">
                  <c:v>3.8526629456146967E-2</c:v>
                </c:pt>
                <c:pt idx="15">
                  <c:v>3.5680662633955522E-2</c:v>
                </c:pt>
                <c:pt idx="16">
                  <c:v>4.1986002321088157E-2</c:v>
                </c:pt>
                <c:pt idx="17">
                  <c:v>5.3647074706100896E-2</c:v>
                </c:pt>
                <c:pt idx="18">
                  <c:v>3.1629906033811543E-2</c:v>
                </c:pt>
                <c:pt idx="19">
                  <c:v>3.8129940482658789E-2</c:v>
                </c:pt>
                <c:pt idx="20">
                  <c:v>5.394109887487452E-2</c:v>
                </c:pt>
                <c:pt idx="21">
                  <c:v>4.6231955347376362E-2</c:v>
                </c:pt>
                <c:pt idx="22">
                  <c:v>3.0098817874277092E-2</c:v>
                </c:pt>
                <c:pt idx="23">
                  <c:v>4.1432135730830461E-2</c:v>
                </c:pt>
                <c:pt idx="24">
                  <c:v>3.8526629456146967E-2</c:v>
                </c:pt>
                <c:pt idx="25">
                  <c:v>3.8526629456146967E-2</c:v>
                </c:pt>
                <c:pt idx="26">
                  <c:v>3.8526629456146967E-2</c:v>
                </c:pt>
                <c:pt idx="27">
                  <c:v>3.8526629456146967E-2</c:v>
                </c:pt>
                <c:pt idx="28">
                  <c:v>3.8526629456146967E-2</c:v>
                </c:pt>
                <c:pt idx="29">
                  <c:v>3.8526629456146967E-2</c:v>
                </c:pt>
                <c:pt idx="30">
                  <c:v>3.8526629456146967E-2</c:v>
                </c:pt>
              </c:numCache>
            </c:numRef>
          </c:val>
          <c:smooth val="0"/>
        </c:ser>
        <c:dLbls>
          <c:showLegendKey val="0"/>
          <c:showVal val="0"/>
          <c:showCatName val="0"/>
          <c:showSerName val="0"/>
          <c:showPercent val="0"/>
          <c:showBubbleSize val="0"/>
        </c:dLbls>
        <c:smooth val="0"/>
        <c:axId val="413470904"/>
        <c:axId val="413798928"/>
      </c:lineChart>
      <c:catAx>
        <c:axId val="413470904"/>
        <c:scaling>
          <c:orientation val="minMax"/>
        </c:scaling>
        <c:delete val="0"/>
        <c:axPos val="b"/>
        <c:title>
          <c:tx>
            <c:rich>
              <a:bodyPr/>
              <a:lstStyle/>
              <a:p>
                <a:pPr>
                  <a:defRPr sz="1125" b="1" i="0" u="none" strike="noStrike" baseline="0">
                    <a:solidFill>
                      <a:srgbClr val="000000"/>
                    </a:solidFill>
                    <a:latin typeface="Arial"/>
                    <a:ea typeface="Arial"/>
                    <a:cs typeface="Arial"/>
                  </a:defRPr>
                </a:pPr>
                <a:r>
                  <a:rPr lang="en-US"/>
                  <a:t>Day of Month</a:t>
                </a:r>
              </a:p>
            </c:rich>
          </c:tx>
          <c:layout>
            <c:manualLayout>
              <c:xMode val="edge"/>
              <c:yMode val="edge"/>
              <c:x val="0.47296815867365238"/>
              <c:y val="0.912291847549474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413798928"/>
        <c:crosses val="autoZero"/>
        <c:auto val="1"/>
        <c:lblAlgn val="ctr"/>
        <c:lblOffset val="100"/>
        <c:tickLblSkip val="1"/>
        <c:tickMarkSkip val="1"/>
        <c:noMultiLvlLbl val="0"/>
      </c:catAx>
      <c:valAx>
        <c:axId val="41379892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Log Removal and Inactivation Ratio</a:t>
                </a:r>
              </a:p>
            </c:rich>
          </c:tx>
          <c:layout>
            <c:manualLayout>
              <c:xMode val="edge"/>
              <c:yMode val="edge"/>
              <c:x val="2.7221233361155527E-2"/>
              <c:y val="0.25274113549494526"/>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413470904"/>
        <c:crosses val="autoZero"/>
        <c:crossBetween val="between"/>
      </c:valAx>
      <c:spPr>
        <a:noFill/>
        <a:ln w="12700">
          <a:solidFill>
            <a:srgbClr val="808080"/>
          </a:solidFill>
          <a:prstDash val="solid"/>
        </a:ln>
      </c:spPr>
    </c:plotArea>
    <c:legend>
      <c:legendPos val="t"/>
      <c:legendEntry>
        <c:idx val="0"/>
        <c:txPr>
          <a:bodyPr/>
          <a:lstStyle/>
          <a:p>
            <a:pPr>
              <a:defRPr sz="735" b="0" i="0" u="none" strike="noStrike" baseline="0">
                <a:solidFill>
                  <a:srgbClr val="000000"/>
                </a:solidFill>
                <a:latin typeface="Arial"/>
                <a:ea typeface="Arial"/>
                <a:cs typeface="Arial"/>
              </a:defRPr>
            </a:pPr>
            <a:endParaRPr lang="en-US"/>
          </a:p>
        </c:txPr>
      </c:legendEntry>
      <c:legendEntry>
        <c:idx val="1"/>
        <c:txPr>
          <a:bodyPr/>
          <a:lstStyle/>
          <a:p>
            <a:pPr>
              <a:defRPr sz="735" b="0" i="0" u="none" strike="noStrike" baseline="0">
                <a:solidFill>
                  <a:srgbClr val="000000"/>
                </a:solidFill>
                <a:latin typeface="Arial"/>
                <a:ea typeface="Arial"/>
                <a:cs typeface="Arial"/>
              </a:defRPr>
            </a:pPr>
            <a:endParaRPr lang="en-US"/>
          </a:p>
        </c:txPr>
      </c:legendEntry>
      <c:layout>
        <c:manualLayout>
          <c:xMode val="edge"/>
          <c:yMode val="edge"/>
          <c:x val="0.80075676364209258"/>
          <c:y val="1.7311058551141182E-2"/>
          <c:w val="0.17353512803236759"/>
          <c:h val="7.270640599582847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horizontalDpi="300" verticalDpi="300"/>
  </c:printSettings>
</c:chartSpace>
</file>

<file path=xl/ctrlProps/ctrlProp1.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180975</xdr:colOff>
          <xdr:row>14</xdr:row>
          <xdr:rowOff>9525</xdr:rowOff>
        </xdr:from>
        <xdr:to>
          <xdr:col>6</xdr:col>
          <xdr:colOff>38100</xdr:colOff>
          <xdr:row>16</xdr:row>
          <xdr:rowOff>142875</xdr:rowOff>
        </xdr:to>
        <xdr:sp macro="" textlink="">
          <xdr:nvSpPr>
            <xdr:cNvPr id="4101" name="Button 5" hidden="1">
              <a:extLst>
                <a:ext uri="{63B3BB69-23CF-44E3-9099-C40C66FF867C}">
                  <a14:compatExt spid="_x0000_s410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800" b="0" i="0" u="none" strike="noStrike" baseline="0">
                  <a:solidFill>
                    <a:srgbClr val="000000"/>
                  </a:solidFill>
                  <a:latin typeface="Times New Roman"/>
                  <a:cs typeface="Times New Roman"/>
                </a:rPr>
                <a:t>Clear Calculation Page</a:t>
              </a:r>
              <a:endParaRPr lang="en-US" sz="1200" b="0" i="0" u="none" strike="noStrike" baseline="0">
                <a:solidFill>
                  <a:srgbClr val="000000"/>
                </a:solidFill>
                <a:latin typeface="Times New Roman"/>
                <a:cs typeface="Times New Roman"/>
              </a:endParaRPr>
            </a:p>
            <a:p>
              <a:pPr algn="ctr" rtl="0">
                <a:defRPr sz="1000"/>
              </a:pPr>
              <a:r>
                <a:rPr lang="en-US" sz="800" b="0" i="0" u="none" strike="noStrike" baseline="0">
                  <a:solidFill>
                    <a:srgbClr val="000000"/>
                  </a:solidFill>
                  <a:latin typeface="Times New Roman"/>
                  <a:cs typeface="Times New Roman"/>
                </a:rPr>
                <a:t>(WARNING ALL DATA WILL BE LOST IF NOT SAVED)</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19050</xdr:colOff>
      <xdr:row>4</xdr:row>
      <xdr:rowOff>152400</xdr:rowOff>
    </xdr:from>
    <xdr:to>
      <xdr:col>11</xdr:col>
      <xdr:colOff>447675</xdr:colOff>
      <xdr:row>36</xdr:row>
      <xdr:rowOff>9525</xdr:rowOff>
    </xdr:to>
    <xdr:graphicFrame macro="">
      <xdr:nvGraphicFramePr>
        <xdr:cNvPr id="307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36</xdr:row>
      <xdr:rowOff>152400</xdr:rowOff>
    </xdr:from>
    <xdr:to>
      <xdr:col>11</xdr:col>
      <xdr:colOff>476250</xdr:colOff>
      <xdr:row>67</xdr:row>
      <xdr:rowOff>142875</xdr:rowOff>
    </xdr:to>
    <xdr:graphicFrame macro="">
      <xdr:nvGraphicFramePr>
        <xdr:cNvPr id="307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46"/>
  <sheetViews>
    <sheetView tabSelected="1" zoomScale="80" workbookViewId="0">
      <selection activeCell="A4" sqref="A4:I9"/>
    </sheetView>
  </sheetViews>
  <sheetFormatPr defaultColWidth="0" defaultRowHeight="12.75" x14ac:dyDescent="0.2"/>
  <cols>
    <col min="1" max="1" width="9.5703125" customWidth="1"/>
    <col min="2" max="2" width="9.85546875" bestFit="1" customWidth="1"/>
    <col min="3" max="9" width="9.140625" customWidth="1"/>
  </cols>
  <sheetData>
    <row r="1" spans="1:9" x14ac:dyDescent="0.2">
      <c r="A1" s="58"/>
      <c r="B1" s="58"/>
      <c r="C1" s="58"/>
      <c r="D1" s="58"/>
      <c r="E1" s="58"/>
      <c r="F1" s="58"/>
      <c r="G1" s="58"/>
      <c r="H1" s="58"/>
      <c r="I1" s="58"/>
    </row>
    <row r="2" spans="1:9" ht="23.25" x14ac:dyDescent="0.35">
      <c r="A2" s="77" t="s">
        <v>92</v>
      </c>
      <c r="B2" s="77"/>
      <c r="C2" s="77"/>
      <c r="D2" s="77"/>
      <c r="E2" s="77"/>
      <c r="F2" s="77"/>
      <c r="G2" s="77"/>
      <c r="H2" s="77"/>
      <c r="I2" s="77"/>
    </row>
    <row r="3" spans="1:9" x14ac:dyDescent="0.2">
      <c r="A3" s="59"/>
      <c r="B3" s="59"/>
      <c r="C3" s="59"/>
      <c r="D3" s="59"/>
      <c r="E3" s="59"/>
      <c r="F3" s="59"/>
      <c r="G3" s="59"/>
      <c r="H3" s="59"/>
      <c r="I3" s="59"/>
    </row>
    <row r="4" spans="1:9" ht="409.5" customHeight="1" x14ac:dyDescent="0.2">
      <c r="A4" s="78" t="s">
        <v>93</v>
      </c>
      <c r="B4" s="78"/>
      <c r="C4" s="78"/>
      <c r="D4" s="78"/>
      <c r="E4" s="78"/>
      <c r="F4" s="78"/>
      <c r="G4" s="78"/>
      <c r="H4" s="78"/>
      <c r="I4" s="78"/>
    </row>
    <row r="5" spans="1:9" x14ac:dyDescent="0.2">
      <c r="A5" s="78"/>
      <c r="B5" s="78"/>
      <c r="C5" s="78"/>
      <c r="D5" s="78"/>
      <c r="E5" s="78"/>
      <c r="F5" s="78"/>
      <c r="G5" s="78"/>
      <c r="H5" s="78"/>
      <c r="I5" s="78"/>
    </row>
    <row r="6" spans="1:9" x14ac:dyDescent="0.2">
      <c r="A6" s="78"/>
      <c r="B6" s="78"/>
      <c r="C6" s="78"/>
      <c r="D6" s="78"/>
      <c r="E6" s="78"/>
      <c r="F6" s="78"/>
      <c r="G6" s="78"/>
      <c r="H6" s="78"/>
      <c r="I6" s="78"/>
    </row>
    <row r="7" spans="1:9" x14ac:dyDescent="0.2">
      <c r="A7" s="78"/>
      <c r="B7" s="78"/>
      <c r="C7" s="78"/>
      <c r="D7" s="78"/>
      <c r="E7" s="78"/>
      <c r="F7" s="78"/>
      <c r="G7" s="78"/>
      <c r="H7" s="78"/>
      <c r="I7" s="78"/>
    </row>
    <row r="8" spans="1:9" ht="15.75" customHeight="1" x14ac:dyDescent="0.2">
      <c r="A8" s="78"/>
      <c r="B8" s="78"/>
      <c r="C8" s="78"/>
      <c r="D8" s="78"/>
      <c r="E8" s="78"/>
      <c r="F8" s="78"/>
      <c r="G8" s="78"/>
      <c r="H8" s="78"/>
      <c r="I8" s="78"/>
    </row>
    <row r="9" spans="1:9" ht="15.75" customHeight="1" x14ac:dyDescent="0.2">
      <c r="A9" s="78"/>
      <c r="B9" s="78"/>
      <c r="C9" s="78"/>
      <c r="D9" s="78"/>
      <c r="E9" s="78"/>
      <c r="F9" s="78"/>
      <c r="G9" s="78"/>
      <c r="H9" s="78"/>
      <c r="I9" s="78"/>
    </row>
    <row r="10" spans="1:9" ht="15.75" x14ac:dyDescent="0.2">
      <c r="A10" s="57" t="s">
        <v>90</v>
      </c>
      <c r="B10" s="63">
        <v>1.1000000000000001</v>
      </c>
      <c r="C10" s="65"/>
      <c r="D10" s="65"/>
      <c r="E10" s="65"/>
      <c r="F10" s="65"/>
      <c r="G10" s="65"/>
      <c r="H10" s="65"/>
      <c r="I10" s="65"/>
    </row>
    <row r="11" spans="1:9" ht="15.75" x14ac:dyDescent="0.2">
      <c r="A11" s="57" t="s">
        <v>91</v>
      </c>
      <c r="B11" s="64">
        <v>37873</v>
      </c>
      <c r="C11" s="65"/>
      <c r="D11" s="65"/>
      <c r="E11" s="65"/>
      <c r="F11" s="65"/>
      <c r="G11" s="65"/>
      <c r="H11" s="65"/>
      <c r="I11" s="65"/>
    </row>
    <row r="12" spans="1:9" ht="15.75" x14ac:dyDescent="0.2">
      <c r="A12" s="57" t="s">
        <v>86</v>
      </c>
      <c r="B12" s="64">
        <v>37886</v>
      </c>
      <c r="C12" s="65"/>
      <c r="D12" s="65"/>
      <c r="E12" s="65"/>
      <c r="F12" s="65"/>
      <c r="G12" s="65"/>
      <c r="H12" s="65"/>
      <c r="I12" s="65"/>
    </row>
    <row r="13" spans="1:9" ht="15.75" x14ac:dyDescent="0.2">
      <c r="A13" s="66"/>
      <c r="B13" s="66"/>
      <c r="C13" s="66"/>
      <c r="D13" s="65"/>
      <c r="E13" s="65"/>
      <c r="F13" s="65"/>
      <c r="G13" s="65"/>
      <c r="H13" s="65"/>
      <c r="I13" s="65"/>
    </row>
    <row r="14" spans="1:9" ht="15.75" x14ac:dyDescent="0.2">
      <c r="A14" s="65"/>
      <c r="B14" s="65"/>
      <c r="C14" s="65"/>
      <c r="D14" s="65"/>
      <c r="E14" s="65"/>
      <c r="F14" s="65"/>
      <c r="G14" s="65"/>
      <c r="H14" s="65"/>
      <c r="I14" s="65"/>
    </row>
    <row r="15" spans="1:9" ht="15.75" x14ac:dyDescent="0.2">
      <c r="A15" s="65"/>
      <c r="B15" s="65"/>
      <c r="C15" s="65"/>
      <c r="D15" s="65"/>
      <c r="E15" s="65"/>
      <c r="F15" s="65"/>
      <c r="G15" s="65"/>
      <c r="H15" s="65"/>
      <c r="I15" s="65"/>
    </row>
    <row r="16" spans="1:9" ht="15.75" x14ac:dyDescent="0.2">
      <c r="A16" s="65"/>
      <c r="B16" s="65"/>
      <c r="C16" s="65"/>
      <c r="D16" s="65"/>
      <c r="E16" s="65"/>
      <c r="F16" s="65"/>
      <c r="G16" s="65"/>
      <c r="H16" s="65"/>
      <c r="I16" s="65"/>
    </row>
    <row r="17" spans="1:10" ht="12.75" customHeight="1" x14ac:dyDescent="0.2">
      <c r="A17" s="65"/>
      <c r="B17" s="65"/>
      <c r="C17" s="65"/>
      <c r="D17" s="65"/>
      <c r="E17" s="65"/>
      <c r="F17" s="65"/>
      <c r="G17" s="65"/>
      <c r="H17" s="65"/>
      <c r="I17" s="65"/>
    </row>
    <row r="18" spans="1:10" ht="12.75" customHeight="1" x14ac:dyDescent="0.2">
      <c r="A18" s="67"/>
      <c r="B18" s="67"/>
      <c r="C18" s="67"/>
      <c r="D18" s="67"/>
      <c r="E18" s="67"/>
      <c r="F18" s="67"/>
      <c r="G18" s="67"/>
      <c r="H18" s="67"/>
      <c r="I18" s="67"/>
      <c r="J18" s="15"/>
    </row>
    <row r="19" spans="1:10" ht="12.75" customHeight="1" x14ac:dyDescent="0.2">
      <c r="A19" s="67"/>
      <c r="B19" s="67"/>
      <c r="C19" s="67"/>
      <c r="D19" s="67"/>
      <c r="E19" s="67"/>
      <c r="F19" s="67"/>
      <c r="G19" s="67"/>
      <c r="H19" s="67"/>
      <c r="I19" s="67"/>
    </row>
    <row r="20" spans="1:10" ht="12.75" customHeight="1" x14ac:dyDescent="0.2">
      <c r="A20" s="67"/>
      <c r="B20" s="67"/>
      <c r="C20" s="67"/>
      <c r="D20" s="67"/>
      <c r="E20" s="67"/>
      <c r="F20" s="67"/>
      <c r="G20" s="67"/>
      <c r="H20" s="67"/>
      <c r="I20" s="67"/>
    </row>
    <row r="21" spans="1:10" ht="12.75" customHeight="1" x14ac:dyDescent="0.2">
      <c r="A21" s="67"/>
      <c r="B21" s="67"/>
      <c r="C21" s="67"/>
      <c r="D21" s="67"/>
      <c r="E21" s="67"/>
      <c r="F21" s="67"/>
      <c r="G21" s="67"/>
      <c r="H21" s="67"/>
      <c r="I21" s="67"/>
    </row>
    <row r="22" spans="1:10" ht="12.75" customHeight="1" x14ac:dyDescent="0.2">
      <c r="A22" s="67"/>
      <c r="B22" s="67"/>
      <c r="C22" s="67"/>
      <c r="D22" s="67"/>
      <c r="E22" s="67"/>
      <c r="F22" s="67"/>
      <c r="G22" s="67"/>
      <c r="H22" s="67"/>
      <c r="I22" s="67"/>
    </row>
    <row r="23" spans="1:10" ht="12.75" customHeight="1" x14ac:dyDescent="0.2">
      <c r="A23" s="67"/>
      <c r="B23" s="67"/>
      <c r="C23" s="67"/>
      <c r="D23" s="67"/>
      <c r="E23" s="67"/>
      <c r="F23" s="67"/>
      <c r="G23" s="67"/>
      <c r="H23" s="67"/>
      <c r="I23" s="67"/>
    </row>
    <row r="24" spans="1:10" ht="12.75" customHeight="1" x14ac:dyDescent="0.2">
      <c r="A24" s="67"/>
      <c r="B24" s="67"/>
      <c r="C24" s="67"/>
      <c r="D24" s="67"/>
      <c r="E24" s="67"/>
      <c r="F24" s="67"/>
      <c r="G24" s="67"/>
      <c r="H24" s="67"/>
      <c r="I24" s="67"/>
    </row>
    <row r="25" spans="1:10" ht="12.75" customHeight="1" x14ac:dyDescent="0.2">
      <c r="A25" s="67"/>
      <c r="B25" s="67"/>
      <c r="C25" s="67"/>
      <c r="D25" s="67"/>
      <c r="E25" s="67"/>
      <c r="F25" s="67"/>
      <c r="G25" s="67"/>
      <c r="H25" s="67"/>
      <c r="I25" s="67"/>
    </row>
    <row r="26" spans="1:10" ht="12.75" customHeight="1" x14ac:dyDescent="0.2">
      <c r="A26" s="67"/>
      <c r="B26" s="67"/>
      <c r="C26" s="67"/>
      <c r="D26" s="67"/>
      <c r="E26" s="67"/>
      <c r="F26" s="67"/>
      <c r="G26" s="67"/>
      <c r="H26" s="67"/>
      <c r="I26" s="67"/>
    </row>
    <row r="27" spans="1:10" ht="12.75" customHeight="1" x14ac:dyDescent="0.2">
      <c r="A27" s="67"/>
      <c r="B27" s="67"/>
      <c r="C27" s="67"/>
      <c r="D27" s="67"/>
      <c r="E27" s="67"/>
      <c r="F27" s="67"/>
      <c r="G27" s="67"/>
      <c r="H27" s="67"/>
      <c r="I27" s="67"/>
    </row>
    <row r="28" spans="1:10" ht="12.75" customHeight="1" x14ac:dyDescent="0.2">
      <c r="A28" s="67"/>
      <c r="B28" s="67"/>
      <c r="C28" s="67"/>
      <c r="D28" s="67"/>
      <c r="E28" s="67"/>
      <c r="F28" s="67"/>
      <c r="G28" s="67"/>
      <c r="H28" s="67"/>
      <c r="I28" s="67"/>
    </row>
    <row r="29" spans="1:10" ht="12.75" customHeight="1" x14ac:dyDescent="0.2">
      <c r="A29" s="67"/>
      <c r="B29" s="67"/>
      <c r="C29" s="67"/>
      <c r="D29" s="67"/>
      <c r="E29" s="67"/>
      <c r="F29" s="67"/>
      <c r="G29" s="67"/>
      <c r="H29" s="67"/>
      <c r="I29" s="67"/>
    </row>
    <row r="30" spans="1:10" ht="12.75" customHeight="1" x14ac:dyDescent="0.2">
      <c r="A30" s="67"/>
      <c r="B30" s="67"/>
      <c r="C30" s="67"/>
      <c r="D30" s="67"/>
      <c r="E30" s="67"/>
      <c r="F30" s="67"/>
      <c r="G30" s="67"/>
      <c r="H30" s="67"/>
      <c r="I30" s="67"/>
    </row>
    <row r="31" spans="1:10" ht="12.75" customHeight="1" x14ac:dyDescent="0.2">
      <c r="A31" s="67"/>
      <c r="B31" s="67"/>
      <c r="C31" s="67"/>
      <c r="D31" s="67"/>
      <c r="E31" s="67"/>
      <c r="F31" s="67"/>
      <c r="G31" s="67"/>
      <c r="H31" s="67"/>
      <c r="I31" s="67"/>
    </row>
    <row r="32" spans="1:10" ht="12.75" customHeight="1" x14ac:dyDescent="0.2">
      <c r="A32" s="67"/>
      <c r="B32" s="67"/>
      <c r="C32" s="67"/>
      <c r="D32" s="67"/>
      <c r="E32" s="67"/>
      <c r="F32" s="67"/>
      <c r="G32" s="67"/>
      <c r="H32" s="67"/>
      <c r="I32" s="67"/>
    </row>
    <row r="33" spans="1:9" ht="12.75" customHeight="1" x14ac:dyDescent="0.2">
      <c r="A33" s="67"/>
      <c r="B33" s="67"/>
      <c r="C33" s="67"/>
      <c r="D33" s="67"/>
      <c r="E33" s="67"/>
      <c r="F33" s="67"/>
      <c r="G33" s="67"/>
      <c r="H33" s="67"/>
      <c r="I33" s="67"/>
    </row>
    <row r="34" spans="1:9" ht="12.75" customHeight="1" x14ac:dyDescent="0.2">
      <c r="A34" s="67"/>
      <c r="B34" s="67"/>
      <c r="C34" s="67"/>
      <c r="D34" s="67"/>
      <c r="E34" s="67"/>
      <c r="F34" s="67"/>
      <c r="G34" s="67"/>
      <c r="H34" s="67"/>
      <c r="I34" s="67"/>
    </row>
    <row r="35" spans="1:9" ht="12.75" customHeight="1" x14ac:dyDescent="0.2">
      <c r="A35" s="67"/>
      <c r="B35" s="67"/>
      <c r="C35" s="67"/>
      <c r="D35" s="67"/>
      <c r="E35" s="67"/>
      <c r="F35" s="67"/>
      <c r="G35" s="67"/>
      <c r="H35" s="67"/>
      <c r="I35" s="67"/>
    </row>
    <row r="36" spans="1:9" ht="12.75" customHeight="1" x14ac:dyDescent="0.2">
      <c r="A36" s="67"/>
      <c r="B36" s="67"/>
      <c r="C36" s="67"/>
      <c r="D36" s="67"/>
      <c r="E36" s="67"/>
      <c r="F36" s="67"/>
      <c r="G36" s="67"/>
      <c r="H36" s="67"/>
      <c r="I36" s="67"/>
    </row>
    <row r="37" spans="1:9" ht="12.75" customHeight="1" x14ac:dyDescent="0.2">
      <c r="A37" s="67"/>
      <c r="B37" s="67"/>
      <c r="C37" s="67"/>
      <c r="D37" s="67"/>
      <c r="E37" s="67"/>
      <c r="F37" s="67"/>
      <c r="G37" s="67"/>
      <c r="H37" s="67"/>
      <c r="I37" s="67"/>
    </row>
    <row r="38" spans="1:9" ht="12.75" customHeight="1" x14ac:dyDescent="0.2"/>
    <row r="39" spans="1:9" ht="12.75" customHeight="1" x14ac:dyDescent="0.2"/>
    <row r="40" spans="1:9" ht="12.75" customHeight="1" x14ac:dyDescent="0.2"/>
    <row r="41" spans="1:9" ht="12.75" customHeight="1" x14ac:dyDescent="0.2"/>
    <row r="42" spans="1:9" ht="12.75" customHeight="1" x14ac:dyDescent="0.2"/>
    <row r="43" spans="1:9" ht="12.75" customHeight="1" x14ac:dyDescent="0.2"/>
    <row r="44" spans="1:9" ht="12.75" customHeight="1" x14ac:dyDescent="0.2"/>
    <row r="45" spans="1:9" ht="12.75" customHeight="1" x14ac:dyDescent="0.2"/>
    <row r="46" spans="1:9" ht="12.75" customHeight="1" x14ac:dyDescent="0.2"/>
  </sheetData>
  <sheetProtection selectLockedCells="1"/>
  <mergeCells count="2">
    <mergeCell ref="A2:I2"/>
    <mergeCell ref="A4:I9"/>
  </mergeCells>
  <phoneticPr fontId="2" type="noConversion"/>
  <pageMargins left="0.75" right="0.75" top="1" bottom="1" header="0.5" footer="0.5"/>
  <pageSetup orientation="portrait" horizontalDpi="300" verticalDpi="300" r:id="rId1"/>
  <headerFooter alignWithMargins="0">
    <oddFooter>&amp;LADEM Form 535 XX/18 m1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1" r:id="rId4" name="Button 5">
              <controlPr defaultSize="0" print="0" autoFill="0" autoPict="0" macro="[0]!ClearCalculationPage">
                <anchor moveWithCells="1" sizeWithCells="1">
                  <from>
                    <xdr:col>1</xdr:col>
                    <xdr:colOff>180975</xdr:colOff>
                    <xdr:row>14</xdr:row>
                    <xdr:rowOff>9525</xdr:rowOff>
                  </from>
                  <to>
                    <xdr:col>6</xdr:col>
                    <xdr:colOff>38100</xdr:colOff>
                    <xdr:row>16</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O106"/>
  <sheetViews>
    <sheetView showGridLines="0" zoomScale="85" workbookViewId="0">
      <selection activeCell="H11" sqref="H11"/>
    </sheetView>
  </sheetViews>
  <sheetFormatPr defaultRowHeight="12.75" x14ac:dyDescent="0.2"/>
  <cols>
    <col min="1" max="1" width="3.5703125" customWidth="1"/>
    <col min="2" max="2" width="12.140625" customWidth="1"/>
    <col min="3" max="3" width="18.42578125" customWidth="1"/>
    <col min="4" max="4" width="15.42578125" customWidth="1"/>
    <col min="5" max="5" width="13.42578125" customWidth="1"/>
    <col min="6" max="6" width="13" customWidth="1"/>
    <col min="7" max="7" width="23.28515625" customWidth="1"/>
    <col min="8" max="8" width="9.140625" style="2" customWidth="1"/>
    <col min="10" max="10" width="0.42578125" customWidth="1"/>
    <col min="12" max="12" width="13.140625" bestFit="1" customWidth="1"/>
    <col min="13" max="13" width="15.140625" bestFit="1" customWidth="1"/>
    <col min="14" max="14" width="7.85546875" bestFit="1" customWidth="1"/>
    <col min="15" max="15" width="11.5703125" bestFit="1" customWidth="1"/>
  </cols>
  <sheetData>
    <row r="1" spans="1:15" x14ac:dyDescent="0.2">
      <c r="A1" s="15"/>
      <c r="B1" s="15"/>
      <c r="C1" s="15"/>
      <c r="D1" s="15"/>
      <c r="E1" s="15"/>
      <c r="F1" s="15"/>
      <c r="G1" s="15"/>
      <c r="H1" s="49"/>
      <c r="I1" s="15"/>
      <c r="J1" s="15"/>
    </row>
    <row r="2" spans="1:15" ht="13.5" thickBot="1" x14ac:dyDescent="0.25">
      <c r="A2" s="15"/>
      <c r="B2" s="15"/>
      <c r="C2" s="15"/>
      <c r="D2" s="15"/>
      <c r="E2" s="15"/>
      <c r="F2" s="15"/>
      <c r="G2" s="15"/>
      <c r="H2" s="49"/>
      <c r="I2" s="15"/>
      <c r="J2" s="15"/>
      <c r="L2" s="54" t="s">
        <v>23</v>
      </c>
      <c r="M2" s="54" t="s">
        <v>24</v>
      </c>
      <c r="N2" s="54" t="s">
        <v>25</v>
      </c>
      <c r="O2" s="54" t="s">
        <v>19</v>
      </c>
    </row>
    <row r="3" spans="1:15" ht="13.5" thickBot="1" x14ac:dyDescent="0.25">
      <c r="A3" s="15"/>
      <c r="B3" s="55"/>
      <c r="C3" s="6" t="s">
        <v>13</v>
      </c>
      <c r="D3" s="6" t="s">
        <v>5</v>
      </c>
      <c r="E3" s="6" t="s">
        <v>15</v>
      </c>
      <c r="F3" s="6" t="s">
        <v>19</v>
      </c>
      <c r="G3" s="6" t="s">
        <v>22</v>
      </c>
      <c r="H3" s="6"/>
      <c r="I3" s="7"/>
      <c r="J3" s="15"/>
      <c r="L3" s="54" t="s">
        <v>14</v>
      </c>
      <c r="M3" s="54" t="s">
        <v>17</v>
      </c>
      <c r="N3" s="54">
        <v>0</v>
      </c>
      <c r="O3" s="54" t="s">
        <v>20</v>
      </c>
    </row>
    <row r="4" spans="1:15" ht="13.5" thickBot="1" x14ac:dyDescent="0.25">
      <c r="A4" s="15"/>
      <c r="B4" s="56" t="s">
        <v>18</v>
      </c>
      <c r="C4" s="33" t="s">
        <v>7</v>
      </c>
      <c r="D4" s="33" t="s">
        <v>0</v>
      </c>
      <c r="E4" s="33">
        <v>1</v>
      </c>
      <c r="F4" s="33" t="s">
        <v>21</v>
      </c>
      <c r="G4" s="9"/>
      <c r="H4" s="9"/>
      <c r="I4" s="10"/>
      <c r="J4" s="15"/>
      <c r="L4" s="53" t="s">
        <v>7</v>
      </c>
      <c r="M4" s="53" t="s">
        <v>0</v>
      </c>
      <c r="N4" s="53">
        <v>0.1</v>
      </c>
      <c r="O4" s="53" t="s">
        <v>21</v>
      </c>
    </row>
    <row r="5" spans="1:15" ht="13.5" thickBot="1" x14ac:dyDescent="0.25">
      <c r="A5" s="15"/>
      <c r="B5" s="56"/>
      <c r="C5" s="3"/>
      <c r="D5" s="3"/>
      <c r="E5" s="3"/>
      <c r="F5" s="3"/>
      <c r="G5" s="3" t="str">
        <f>IF(C4="Pipe", "Length (ft)", "Height (ft)")</f>
        <v>Height (ft)</v>
      </c>
      <c r="H5" s="33"/>
      <c r="I5" s="10"/>
      <c r="J5" s="15"/>
      <c r="L5" s="53" t="s">
        <v>8</v>
      </c>
      <c r="M5" s="53" t="s">
        <v>1</v>
      </c>
      <c r="N5" s="53">
        <v>0.3</v>
      </c>
      <c r="O5" s="53"/>
    </row>
    <row r="6" spans="1:15" ht="13.5" thickBot="1" x14ac:dyDescent="0.25">
      <c r="A6" s="15"/>
      <c r="B6" s="8"/>
      <c r="C6" s="3"/>
      <c r="D6" s="3"/>
      <c r="E6" s="3"/>
      <c r="F6" s="3"/>
      <c r="G6" s="3" t="str">
        <f>IF(F4="Rectangular", "Width (ft)", "Diameter (ft)")</f>
        <v>Width (ft)</v>
      </c>
      <c r="H6" s="33">
        <v>6.75</v>
      </c>
      <c r="I6" s="10"/>
      <c r="J6" s="15"/>
      <c r="L6" s="53" t="s">
        <v>9</v>
      </c>
      <c r="M6" s="53" t="s">
        <v>2</v>
      </c>
      <c r="N6" s="53">
        <v>0.5</v>
      </c>
      <c r="O6" s="53"/>
    </row>
    <row r="7" spans="1:15" ht="13.5" thickBot="1" x14ac:dyDescent="0.25">
      <c r="A7" s="15"/>
      <c r="B7" s="8"/>
      <c r="C7" s="51" t="s">
        <v>85</v>
      </c>
      <c r="D7" s="52">
        <f>IF($F4="Rectangular",$H6*$H7*7.48*$E4, IF((AND($F4="Circular",$C4&lt;&gt;"Pipel")), ($H6/2)^2*3.14159*7.48*E4, ($H6/2)^2*3.14159*7.48*$H5))</f>
        <v>366.05250000000001</v>
      </c>
      <c r="E7" s="3"/>
      <c r="F7" s="3"/>
      <c r="G7" s="3" t="str">
        <f>IF(F4="Rectangular", "Length (ft)", "")</f>
        <v>Length (ft)</v>
      </c>
      <c r="H7" s="33">
        <v>7.25</v>
      </c>
      <c r="I7" s="10"/>
      <c r="J7" s="15"/>
      <c r="L7" s="53" t="s">
        <v>10</v>
      </c>
      <c r="M7" s="53" t="s">
        <v>3</v>
      </c>
      <c r="N7" s="53">
        <v>0.7</v>
      </c>
      <c r="O7" s="53"/>
    </row>
    <row r="8" spans="1:15" ht="13.5" thickBot="1" x14ac:dyDescent="0.25">
      <c r="A8" s="15"/>
      <c r="B8" s="8"/>
      <c r="C8" s="51" t="s">
        <v>84</v>
      </c>
      <c r="D8" s="52">
        <f>SUM($H9:$H11)</f>
        <v>0</v>
      </c>
      <c r="E8" s="3"/>
      <c r="F8" s="3"/>
      <c r="G8" s="3"/>
      <c r="H8" s="9"/>
      <c r="I8" s="10"/>
      <c r="J8" s="15"/>
      <c r="L8" s="53" t="s">
        <v>11</v>
      </c>
      <c r="M8" s="53"/>
      <c r="N8" s="53">
        <v>0.9</v>
      </c>
      <c r="O8" s="53"/>
    </row>
    <row r="9" spans="1:15" ht="13.5" thickBot="1" x14ac:dyDescent="0.25">
      <c r="A9" s="15"/>
      <c r="B9" s="8"/>
      <c r="C9" s="3"/>
      <c r="D9" s="3"/>
      <c r="E9" s="3"/>
      <c r="F9" s="3"/>
      <c r="G9" s="3" t="str">
        <f>IF(C4="Filtration", "Media Volume (Gal)", "")</f>
        <v/>
      </c>
      <c r="H9" s="33"/>
      <c r="I9" s="10"/>
      <c r="J9" s="15"/>
      <c r="L9" s="53" t="s">
        <v>12</v>
      </c>
      <c r="M9" s="53"/>
      <c r="N9" s="53">
        <v>1</v>
      </c>
      <c r="O9" s="53"/>
    </row>
    <row r="10" spans="1:15" ht="13.5" thickBot="1" x14ac:dyDescent="0.25">
      <c r="A10" s="15"/>
      <c r="B10" s="8"/>
      <c r="C10" s="3"/>
      <c r="D10" s="3"/>
      <c r="E10" s="3"/>
      <c r="F10" s="3"/>
      <c r="G10" s="3" t="str">
        <f>IF(C4="Filtration", "Gravel Volume (Gal)", "")</f>
        <v/>
      </c>
      <c r="H10" s="33"/>
      <c r="I10" s="10"/>
      <c r="J10" s="15"/>
    </row>
    <row r="11" spans="1:15" ht="13.5" thickBot="1" x14ac:dyDescent="0.25">
      <c r="A11" s="15"/>
      <c r="B11" s="8"/>
      <c r="C11" s="3"/>
      <c r="D11" s="3"/>
      <c r="E11" s="3"/>
      <c r="F11" s="3"/>
      <c r="G11" s="3" t="str">
        <f>IF(C4="Filtration", "Underdrain Volume (Gal)", "")</f>
        <v/>
      </c>
      <c r="H11" s="33"/>
      <c r="I11" s="10"/>
      <c r="J11" s="15"/>
    </row>
    <row r="12" spans="1:15" ht="13.5" thickBot="1" x14ac:dyDescent="0.25">
      <c r="A12" s="15"/>
      <c r="B12" s="11"/>
      <c r="C12" s="12"/>
      <c r="D12" s="12"/>
      <c r="E12" s="12"/>
      <c r="F12" s="12"/>
      <c r="G12" s="12"/>
      <c r="H12" s="14"/>
      <c r="I12" s="13"/>
      <c r="J12" s="15"/>
    </row>
    <row r="13" spans="1:15" ht="13.5" thickBot="1" x14ac:dyDescent="0.25">
      <c r="A13" s="15"/>
      <c r="B13" s="15"/>
      <c r="C13" s="15"/>
      <c r="D13" s="15"/>
      <c r="E13" s="15"/>
      <c r="F13" s="15"/>
      <c r="G13" s="15"/>
      <c r="H13" s="49"/>
      <c r="I13" s="15"/>
      <c r="J13" s="15"/>
    </row>
    <row r="14" spans="1:15" ht="13.5" thickBot="1" x14ac:dyDescent="0.25">
      <c r="A14" s="15"/>
      <c r="B14" s="5"/>
      <c r="C14" s="6" t="s">
        <v>13</v>
      </c>
      <c r="D14" s="6" t="s">
        <v>5</v>
      </c>
      <c r="E14" s="6" t="s">
        <v>15</v>
      </c>
      <c r="F14" s="6" t="s">
        <v>19</v>
      </c>
      <c r="G14" s="6" t="s">
        <v>22</v>
      </c>
      <c r="H14" s="6"/>
      <c r="I14" s="7"/>
      <c r="J14" s="15"/>
    </row>
    <row r="15" spans="1:15" ht="13.5" thickBot="1" x14ac:dyDescent="0.25">
      <c r="A15" s="15"/>
      <c r="B15" s="8" t="s">
        <v>26</v>
      </c>
      <c r="C15" s="33" t="s">
        <v>8</v>
      </c>
      <c r="D15" s="33" t="s">
        <v>0</v>
      </c>
      <c r="E15" s="33">
        <v>0.7</v>
      </c>
      <c r="F15" s="33" t="s">
        <v>21</v>
      </c>
      <c r="G15" s="9"/>
      <c r="H15" s="9"/>
      <c r="I15" s="10"/>
      <c r="J15" s="15"/>
    </row>
    <row r="16" spans="1:15" ht="13.5" thickBot="1" x14ac:dyDescent="0.25">
      <c r="A16" s="15"/>
      <c r="B16" s="8"/>
      <c r="C16" s="3"/>
      <c r="D16" s="3"/>
      <c r="E16" s="3"/>
      <c r="F16" s="3"/>
      <c r="G16" s="3" t="str">
        <f>IF(C15="Pipe", "Length (ft)", "Height (ft)")</f>
        <v>Height (ft)</v>
      </c>
      <c r="H16" s="33"/>
      <c r="I16" s="10"/>
      <c r="J16" s="15"/>
    </row>
    <row r="17" spans="1:10" ht="13.5" thickBot="1" x14ac:dyDescent="0.25">
      <c r="A17" s="15"/>
      <c r="B17" s="8"/>
      <c r="C17" s="3"/>
      <c r="D17" s="3"/>
      <c r="E17" s="3"/>
      <c r="F17" s="3"/>
      <c r="G17" s="3" t="str">
        <f>IF(F15="Rectangular", "Width (ft)", "Diameter (ft)")</f>
        <v>Width (ft)</v>
      </c>
      <c r="H17" s="33"/>
      <c r="I17" s="10"/>
      <c r="J17" s="15"/>
    </row>
    <row r="18" spans="1:10" ht="13.5" thickBot="1" x14ac:dyDescent="0.25">
      <c r="A18" s="15"/>
      <c r="B18" s="8"/>
      <c r="C18" s="51" t="s">
        <v>85</v>
      </c>
      <c r="D18" s="52">
        <f>IF($F15="Rectangular",$H17*$H18*7.48*$E15, IF((AND($F15="Circular",$C15&lt;&gt;"Pipe")), ($H17/2)^2*3.14159*7.48*E4, ($H17/2)^2*3.14159*7.48*$H16))</f>
        <v>0</v>
      </c>
      <c r="E18" s="3"/>
      <c r="F18" s="3"/>
      <c r="G18" s="3" t="str">
        <f>IF(F15="Rectangular", "Length (ft)", "")</f>
        <v>Length (ft)</v>
      </c>
      <c r="H18" s="33"/>
      <c r="I18" s="10"/>
      <c r="J18" s="15"/>
    </row>
    <row r="19" spans="1:10" ht="13.5" thickBot="1" x14ac:dyDescent="0.25">
      <c r="A19" s="15"/>
      <c r="B19" s="8"/>
      <c r="C19" s="51" t="s">
        <v>84</v>
      </c>
      <c r="D19" s="52">
        <f>SUM($H20:$H22)</f>
        <v>0</v>
      </c>
      <c r="E19" s="3"/>
      <c r="F19" s="3"/>
      <c r="G19" s="3"/>
      <c r="H19" s="9"/>
      <c r="I19" s="10"/>
      <c r="J19" s="15"/>
    </row>
    <row r="20" spans="1:10" ht="13.5" thickBot="1" x14ac:dyDescent="0.25">
      <c r="A20" s="15"/>
      <c r="B20" s="8"/>
      <c r="C20" s="3"/>
      <c r="D20" s="3"/>
      <c r="E20" s="3"/>
      <c r="F20" s="3"/>
      <c r="G20" s="3" t="str">
        <f>IF(C15="Filtration", "Media Volume (Gal)", "")</f>
        <v/>
      </c>
      <c r="H20" s="33"/>
      <c r="I20" s="10"/>
      <c r="J20" s="15"/>
    </row>
    <row r="21" spans="1:10" ht="13.5" thickBot="1" x14ac:dyDescent="0.25">
      <c r="A21" s="15"/>
      <c r="B21" s="8"/>
      <c r="C21" s="3"/>
      <c r="D21" s="3"/>
      <c r="E21" s="3"/>
      <c r="F21" s="3"/>
      <c r="G21" s="3" t="str">
        <f>IF(C15="Filtration", "Gravel Volume (Gal)", "")</f>
        <v/>
      </c>
      <c r="H21" s="33"/>
      <c r="I21" s="10"/>
      <c r="J21" s="15"/>
    </row>
    <row r="22" spans="1:10" ht="13.5" thickBot="1" x14ac:dyDescent="0.25">
      <c r="A22" s="15"/>
      <c r="B22" s="8"/>
      <c r="C22" s="3"/>
      <c r="D22" s="3"/>
      <c r="E22" s="3"/>
      <c r="F22" s="3"/>
      <c r="G22" s="3" t="str">
        <f>IF(C15="Filtration", "Underdrain Volume (Gal)", "")</f>
        <v/>
      </c>
      <c r="H22" s="33"/>
      <c r="I22" s="10"/>
      <c r="J22" s="15"/>
    </row>
    <row r="23" spans="1:10" ht="13.5" thickBot="1" x14ac:dyDescent="0.25">
      <c r="A23" s="15"/>
      <c r="B23" s="11"/>
      <c r="C23" s="12"/>
      <c r="D23" s="12"/>
      <c r="E23" s="12"/>
      <c r="F23" s="12"/>
      <c r="G23" s="12"/>
      <c r="H23" s="14"/>
      <c r="I23" s="13"/>
      <c r="J23" s="15"/>
    </row>
    <row r="24" spans="1:10" ht="13.5" thickBot="1" x14ac:dyDescent="0.25">
      <c r="A24" s="15"/>
      <c r="B24" s="15"/>
      <c r="C24" s="15"/>
      <c r="D24" s="15"/>
      <c r="E24" s="15"/>
      <c r="F24" s="15"/>
      <c r="G24" s="15"/>
      <c r="H24" s="49"/>
      <c r="I24" s="15"/>
      <c r="J24" s="15"/>
    </row>
    <row r="25" spans="1:10" ht="13.5" thickBot="1" x14ac:dyDescent="0.25">
      <c r="A25" s="15"/>
      <c r="B25" s="5"/>
      <c r="C25" s="6" t="s">
        <v>13</v>
      </c>
      <c r="D25" s="6" t="s">
        <v>5</v>
      </c>
      <c r="E25" s="6" t="s">
        <v>15</v>
      </c>
      <c r="F25" s="6" t="s">
        <v>19</v>
      </c>
      <c r="G25" s="6" t="s">
        <v>22</v>
      </c>
      <c r="H25" s="6"/>
      <c r="I25" s="7"/>
      <c r="J25" s="15"/>
    </row>
    <row r="26" spans="1:10" ht="13.5" thickBot="1" x14ac:dyDescent="0.25">
      <c r="A26" s="15"/>
      <c r="B26" s="8" t="s">
        <v>27</v>
      </c>
      <c r="C26" s="33" t="s">
        <v>9</v>
      </c>
      <c r="D26" s="33" t="s">
        <v>0</v>
      </c>
      <c r="E26" s="33">
        <v>0.3</v>
      </c>
      <c r="F26" s="33" t="s">
        <v>21</v>
      </c>
      <c r="G26" s="9"/>
      <c r="H26" s="9"/>
      <c r="I26" s="10"/>
      <c r="J26" s="15"/>
    </row>
    <row r="27" spans="1:10" ht="13.5" thickBot="1" x14ac:dyDescent="0.25">
      <c r="A27" s="15"/>
      <c r="B27" s="8"/>
      <c r="C27" s="3"/>
      <c r="D27" s="3"/>
      <c r="E27" s="3"/>
      <c r="F27" s="3"/>
      <c r="G27" s="3" t="str">
        <f>IF(C26="Pipe", "Length (ft)", "Height (ft)")</f>
        <v>Height (ft)</v>
      </c>
      <c r="H27" s="33"/>
      <c r="I27" s="10"/>
      <c r="J27" s="15"/>
    </row>
    <row r="28" spans="1:10" ht="13.5" thickBot="1" x14ac:dyDescent="0.25">
      <c r="A28" s="15"/>
      <c r="B28" s="8"/>
      <c r="C28" s="3"/>
      <c r="D28" s="3"/>
      <c r="E28" s="3"/>
      <c r="F28" s="3"/>
      <c r="G28" s="3" t="str">
        <f>IF(F26="Rectangular", "Width (ft)", "Diameter (ft)")</f>
        <v>Width (ft)</v>
      </c>
      <c r="H28" s="33"/>
      <c r="I28" s="10"/>
      <c r="J28" s="15"/>
    </row>
    <row r="29" spans="1:10" ht="13.5" thickBot="1" x14ac:dyDescent="0.25">
      <c r="A29" s="15"/>
      <c r="B29" s="8"/>
      <c r="C29" s="51" t="s">
        <v>85</v>
      </c>
      <c r="D29" s="52">
        <f>IF($F26="Rectangular",$H28*$H29*7.48*$E26, IF((AND($F26="Circular",$C26&lt;&gt;"Pipe")), ($H28/2)^2*3.14159*7.48*E4, ($H28/2)^2*3.14159*7.48*$H27))</f>
        <v>0</v>
      </c>
      <c r="E29" s="3"/>
      <c r="F29" s="3"/>
      <c r="G29" s="3" t="str">
        <f>IF(F26="Rectangular", "Length (ft)", "")</f>
        <v>Length (ft)</v>
      </c>
      <c r="H29" s="33"/>
      <c r="I29" s="10"/>
      <c r="J29" s="15"/>
    </row>
    <row r="30" spans="1:10" ht="13.5" thickBot="1" x14ac:dyDescent="0.25">
      <c r="A30" s="15"/>
      <c r="B30" s="8"/>
      <c r="C30" s="51" t="s">
        <v>84</v>
      </c>
      <c r="D30" s="52">
        <f>SUM($H31:$H33)</f>
        <v>0</v>
      </c>
      <c r="E30" s="3"/>
      <c r="F30" s="3"/>
      <c r="G30" s="3"/>
      <c r="H30" s="9"/>
      <c r="I30" s="10"/>
      <c r="J30" s="15"/>
    </row>
    <row r="31" spans="1:10" ht="13.5" thickBot="1" x14ac:dyDescent="0.25">
      <c r="A31" s="15"/>
      <c r="B31" s="8"/>
      <c r="C31" s="3"/>
      <c r="D31" s="3"/>
      <c r="E31" s="3"/>
      <c r="F31" s="3"/>
      <c r="G31" s="3" t="str">
        <f>IF(C26="Filtration", "Media Volume (Gal)", "")</f>
        <v/>
      </c>
      <c r="H31" s="33"/>
      <c r="I31" s="10"/>
      <c r="J31" s="15"/>
    </row>
    <row r="32" spans="1:10" ht="13.5" thickBot="1" x14ac:dyDescent="0.25">
      <c r="A32" s="15"/>
      <c r="B32" s="8"/>
      <c r="C32" s="3"/>
      <c r="D32" s="3"/>
      <c r="E32" s="3"/>
      <c r="F32" s="3"/>
      <c r="G32" s="3" t="str">
        <f>IF(C26="Filtration", "Gravel Volume (Gal)", "")</f>
        <v/>
      </c>
      <c r="H32" s="33"/>
      <c r="I32" s="10"/>
      <c r="J32" s="15"/>
    </row>
    <row r="33" spans="1:10" ht="13.5" thickBot="1" x14ac:dyDescent="0.25">
      <c r="A33" s="15"/>
      <c r="B33" s="8"/>
      <c r="C33" s="3"/>
      <c r="D33" s="3"/>
      <c r="E33" s="3"/>
      <c r="F33" s="3"/>
      <c r="G33" s="3" t="str">
        <f>IF(C26="Filtration", "Underdrain Volume (Gal)", "")</f>
        <v/>
      </c>
      <c r="H33" s="33"/>
      <c r="I33" s="10"/>
      <c r="J33" s="15"/>
    </row>
    <row r="34" spans="1:10" ht="13.5" thickBot="1" x14ac:dyDescent="0.25">
      <c r="A34" s="15"/>
      <c r="B34" s="11"/>
      <c r="C34" s="12"/>
      <c r="D34" s="12"/>
      <c r="E34" s="12"/>
      <c r="F34" s="12"/>
      <c r="G34" s="12"/>
      <c r="H34" s="14"/>
      <c r="I34" s="13"/>
      <c r="J34" s="15"/>
    </row>
    <row r="35" spans="1:10" x14ac:dyDescent="0.2">
      <c r="A35" s="15"/>
      <c r="B35" s="15"/>
      <c r="C35" s="15"/>
      <c r="D35" s="15"/>
      <c r="E35" s="15"/>
      <c r="F35" s="15"/>
      <c r="G35" s="15"/>
      <c r="H35" s="49"/>
      <c r="I35" s="15"/>
      <c r="J35" s="15"/>
    </row>
    <row r="36" spans="1:10" x14ac:dyDescent="0.2">
      <c r="A36" s="15"/>
      <c r="B36" s="15"/>
      <c r="C36" s="15"/>
      <c r="D36" s="15"/>
      <c r="E36" s="15"/>
      <c r="F36" s="15"/>
      <c r="G36" s="15"/>
      <c r="H36" s="49"/>
      <c r="I36" s="15"/>
      <c r="J36" s="15"/>
    </row>
    <row r="37" spans="1:10" ht="13.5" thickBot="1" x14ac:dyDescent="0.25">
      <c r="A37" s="15"/>
      <c r="B37" s="15"/>
      <c r="C37" s="15"/>
      <c r="D37" s="15"/>
      <c r="E37" s="15"/>
      <c r="F37" s="15"/>
      <c r="G37" s="15"/>
      <c r="H37" s="49"/>
      <c r="I37" s="15"/>
      <c r="J37" s="15"/>
    </row>
    <row r="38" spans="1:10" ht="13.5" thickBot="1" x14ac:dyDescent="0.25">
      <c r="A38" s="15"/>
      <c r="B38" s="5"/>
      <c r="C38" s="6" t="s">
        <v>13</v>
      </c>
      <c r="D38" s="6" t="s">
        <v>5</v>
      </c>
      <c r="E38" s="6" t="s">
        <v>15</v>
      </c>
      <c r="F38" s="6" t="s">
        <v>19</v>
      </c>
      <c r="G38" s="6" t="s">
        <v>22</v>
      </c>
      <c r="H38" s="6"/>
      <c r="I38" s="7"/>
      <c r="J38" s="15"/>
    </row>
    <row r="39" spans="1:10" ht="13.5" thickBot="1" x14ac:dyDescent="0.25">
      <c r="A39" s="15"/>
      <c r="B39" s="8" t="s">
        <v>28</v>
      </c>
      <c r="C39" s="33" t="s">
        <v>10</v>
      </c>
      <c r="D39" s="33" t="s">
        <v>0</v>
      </c>
      <c r="E39" s="33">
        <v>0.5</v>
      </c>
      <c r="F39" s="33" t="s">
        <v>21</v>
      </c>
      <c r="G39" s="9"/>
      <c r="H39" s="9"/>
      <c r="I39" s="10"/>
      <c r="J39" s="15"/>
    </row>
    <row r="40" spans="1:10" ht="13.5" thickBot="1" x14ac:dyDescent="0.25">
      <c r="A40" s="15"/>
      <c r="B40" s="8"/>
      <c r="C40" s="3"/>
      <c r="D40" s="3"/>
      <c r="E40" s="3"/>
      <c r="F40" s="3"/>
      <c r="G40" s="3" t="str">
        <f>IF(C39="Pipe", "Length (ft)", "Height (ft)")</f>
        <v>Height (ft)</v>
      </c>
      <c r="H40" s="33"/>
      <c r="I40" s="10"/>
      <c r="J40" s="15"/>
    </row>
    <row r="41" spans="1:10" ht="13.5" thickBot="1" x14ac:dyDescent="0.25">
      <c r="A41" s="15"/>
      <c r="B41" s="8"/>
      <c r="C41" s="3"/>
      <c r="D41" s="3"/>
      <c r="E41" s="3"/>
      <c r="F41" s="3"/>
      <c r="G41" s="3" t="str">
        <f>IF(F39="Rectangular", "Width (ft)", "Diameter (ft)")</f>
        <v>Width (ft)</v>
      </c>
      <c r="H41" s="33">
        <v>34</v>
      </c>
      <c r="I41" s="10"/>
      <c r="J41" s="15"/>
    </row>
    <row r="42" spans="1:10" ht="13.5" thickBot="1" x14ac:dyDescent="0.25">
      <c r="A42" s="15"/>
      <c r="B42" s="8"/>
      <c r="C42" s="51" t="s">
        <v>85</v>
      </c>
      <c r="D42" s="52">
        <f>IF($F39="Rectangular",$H41*$H42*7.48*$E39, IF((AND($F39="Circular",$C39&lt;&gt;"Pipe")), ($H41/2)^2*3.14159*7.48*E4, ($H41/2)^2*3.14159*7.48*$H40))</f>
        <v>2733.94</v>
      </c>
      <c r="E42" s="3"/>
      <c r="F42" s="3"/>
      <c r="G42" s="3" t="str">
        <f>IF(F39="Rectangular", "Length (ft)", "")</f>
        <v>Length (ft)</v>
      </c>
      <c r="H42" s="33">
        <v>21.5</v>
      </c>
      <c r="I42" s="10"/>
      <c r="J42" s="15"/>
    </row>
    <row r="43" spans="1:10" ht="13.5" thickBot="1" x14ac:dyDescent="0.25">
      <c r="A43" s="15"/>
      <c r="B43" s="8"/>
      <c r="C43" s="51" t="s">
        <v>84</v>
      </c>
      <c r="D43" s="52">
        <f>SUM($H44:$H46)</f>
        <v>0</v>
      </c>
      <c r="E43" s="3"/>
      <c r="F43" s="3"/>
      <c r="G43" s="3"/>
      <c r="H43" s="9"/>
      <c r="I43" s="10"/>
      <c r="J43" s="15"/>
    </row>
    <row r="44" spans="1:10" ht="13.5" thickBot="1" x14ac:dyDescent="0.25">
      <c r="A44" s="15"/>
      <c r="B44" s="8"/>
      <c r="C44" s="3"/>
      <c r="D44" s="3"/>
      <c r="E44" s="3"/>
      <c r="F44" s="3"/>
      <c r="G44" s="3" t="str">
        <f>IF(C39="Filtration", "Media Volume (Gal)", "")</f>
        <v>Media Volume (Gal)</v>
      </c>
      <c r="H44" s="33"/>
      <c r="I44" s="10"/>
      <c r="J44" s="15"/>
    </row>
    <row r="45" spans="1:10" ht="13.5" thickBot="1" x14ac:dyDescent="0.25">
      <c r="A45" s="15"/>
      <c r="B45" s="8"/>
      <c r="C45" s="3"/>
      <c r="D45" s="3"/>
      <c r="E45" s="3"/>
      <c r="F45" s="3"/>
      <c r="G45" s="3" t="str">
        <f>IF(C39="Filtration", "Gravel Volume (Gal)", "")</f>
        <v>Gravel Volume (Gal)</v>
      </c>
      <c r="H45" s="33"/>
      <c r="I45" s="10"/>
      <c r="J45" s="15"/>
    </row>
    <row r="46" spans="1:10" ht="13.5" thickBot="1" x14ac:dyDescent="0.25">
      <c r="A46" s="15"/>
      <c r="B46" s="8"/>
      <c r="C46" s="3"/>
      <c r="D46" s="3"/>
      <c r="E46" s="3"/>
      <c r="F46" s="3"/>
      <c r="G46" s="3" t="str">
        <f>IF(C39="Filtration", "Underdrain Volume (Gal)", "")</f>
        <v>Underdrain Volume (Gal)</v>
      </c>
      <c r="H46" s="33"/>
      <c r="I46" s="10"/>
      <c r="J46" s="15"/>
    </row>
    <row r="47" spans="1:10" ht="13.5" thickBot="1" x14ac:dyDescent="0.25">
      <c r="A47" s="15"/>
      <c r="B47" s="11"/>
      <c r="C47" s="12"/>
      <c r="D47" s="12"/>
      <c r="E47" s="12"/>
      <c r="F47" s="12"/>
      <c r="G47" s="12"/>
      <c r="H47" s="14"/>
      <c r="I47" s="13"/>
      <c r="J47" s="15"/>
    </row>
    <row r="48" spans="1:10" ht="13.5" thickBot="1" x14ac:dyDescent="0.25">
      <c r="A48" s="15"/>
      <c r="B48" s="15"/>
      <c r="C48" s="15"/>
      <c r="D48" s="15"/>
      <c r="E48" s="15"/>
      <c r="F48" s="15"/>
      <c r="G48" s="15"/>
      <c r="H48" s="49"/>
      <c r="I48" s="15"/>
      <c r="J48" s="15"/>
    </row>
    <row r="49" spans="1:10" ht="13.5" thickBot="1" x14ac:dyDescent="0.25">
      <c r="A49" s="15"/>
      <c r="B49" s="5"/>
      <c r="C49" s="6" t="s">
        <v>13</v>
      </c>
      <c r="D49" s="6" t="s">
        <v>5</v>
      </c>
      <c r="E49" s="6" t="s">
        <v>15</v>
      </c>
      <c r="F49" s="6" t="s">
        <v>19</v>
      </c>
      <c r="G49" s="6" t="s">
        <v>22</v>
      </c>
      <c r="H49" s="6"/>
      <c r="I49" s="7"/>
      <c r="J49" s="15"/>
    </row>
    <row r="50" spans="1:10" ht="13.5" thickBot="1" x14ac:dyDescent="0.25">
      <c r="A50" s="15"/>
      <c r="B50" s="8" t="s">
        <v>29</v>
      </c>
      <c r="C50" s="33" t="s">
        <v>11</v>
      </c>
      <c r="D50" s="33" t="s">
        <v>0</v>
      </c>
      <c r="E50" s="33">
        <v>0.1</v>
      </c>
      <c r="F50" s="33" t="s">
        <v>21</v>
      </c>
      <c r="G50" s="9"/>
      <c r="H50" s="9"/>
      <c r="I50" s="10"/>
      <c r="J50" s="15"/>
    </row>
    <row r="51" spans="1:10" ht="13.5" thickBot="1" x14ac:dyDescent="0.25">
      <c r="A51" s="15"/>
      <c r="B51" s="8"/>
      <c r="C51" s="3"/>
      <c r="D51" s="3"/>
      <c r="E51" s="3"/>
      <c r="F51" s="3"/>
      <c r="G51" s="3" t="str">
        <f>IF(C50="Pipe", "Length (ft)", "Height (ft)")</f>
        <v>Height (ft)</v>
      </c>
      <c r="H51" s="33">
        <v>10</v>
      </c>
      <c r="I51" s="10"/>
      <c r="J51" s="15"/>
    </row>
    <row r="52" spans="1:10" ht="13.5" thickBot="1" x14ac:dyDescent="0.25">
      <c r="A52" s="15"/>
      <c r="B52" s="8"/>
      <c r="C52" s="3"/>
      <c r="D52" s="3"/>
      <c r="E52" s="3"/>
      <c r="F52" s="3"/>
      <c r="G52" s="3" t="str">
        <f>IF(F50="Rectangular", "Width (ft)", "Diameter (ft)")</f>
        <v>Width (ft)</v>
      </c>
      <c r="H52" s="33">
        <v>130</v>
      </c>
      <c r="I52" s="10"/>
      <c r="J52" s="15"/>
    </row>
    <row r="53" spans="1:10" ht="13.5" thickBot="1" x14ac:dyDescent="0.25">
      <c r="A53" s="15"/>
      <c r="B53" s="8"/>
      <c r="C53" s="51" t="s">
        <v>85</v>
      </c>
      <c r="D53" s="52">
        <f>IF($F50="Rectangular",$H52*$H53*7.48*$E50, IF((AND($F50="Circular",$C50="Clearwell")), ($H52/2)^2*3.14159*7.48*E4, ($H52/2)^2*3.14159*7.48*$H51))</f>
        <v>9918.4800000000014</v>
      </c>
      <c r="E53" s="3"/>
      <c r="F53" s="3"/>
      <c r="G53" s="3" t="str">
        <f>IF(F50="Rectangular", "Length (ft)", "")</f>
        <v>Length (ft)</v>
      </c>
      <c r="H53" s="33">
        <v>102</v>
      </c>
      <c r="I53" s="10"/>
      <c r="J53" s="15"/>
    </row>
    <row r="54" spans="1:10" ht="13.5" thickBot="1" x14ac:dyDescent="0.25">
      <c r="A54" s="15"/>
      <c r="B54" s="8"/>
      <c r="C54" s="51" t="s">
        <v>84</v>
      </c>
      <c r="D54" s="52">
        <f>SUM($H55:$H57)</f>
        <v>0</v>
      </c>
      <c r="E54" s="3"/>
      <c r="F54" s="3"/>
      <c r="G54" s="3"/>
      <c r="H54" s="9"/>
      <c r="I54" s="10"/>
      <c r="J54" s="15"/>
    </row>
    <row r="55" spans="1:10" ht="13.5" thickBot="1" x14ac:dyDescent="0.25">
      <c r="A55" s="15"/>
      <c r="B55" s="8"/>
      <c r="C55" s="3"/>
      <c r="D55" s="3"/>
      <c r="E55" s="3"/>
      <c r="F55" s="3"/>
      <c r="G55" s="3" t="str">
        <f>IF(C50="Filtration", "Media Volume (Gal)", "")</f>
        <v/>
      </c>
      <c r="H55" s="33"/>
      <c r="I55" s="10"/>
      <c r="J55" s="15"/>
    </row>
    <row r="56" spans="1:10" ht="13.5" thickBot="1" x14ac:dyDescent="0.25">
      <c r="A56" s="15"/>
      <c r="B56" s="8"/>
      <c r="C56" s="3"/>
      <c r="D56" s="3"/>
      <c r="E56" s="3"/>
      <c r="F56" s="3"/>
      <c r="G56" s="3" t="str">
        <f>IF(C50="Filtration", "Gravel Volume (Gal)", "")</f>
        <v/>
      </c>
      <c r="H56" s="33"/>
      <c r="I56" s="10"/>
      <c r="J56" s="15"/>
    </row>
    <row r="57" spans="1:10" ht="13.5" thickBot="1" x14ac:dyDescent="0.25">
      <c r="A57" s="15"/>
      <c r="B57" s="8"/>
      <c r="C57" s="3"/>
      <c r="D57" s="3"/>
      <c r="E57" s="3"/>
      <c r="F57" s="3"/>
      <c r="G57" s="3" t="str">
        <f>IF(C50="Filtration", "Underdrain Volume (Gal)", "")</f>
        <v/>
      </c>
      <c r="H57" s="33"/>
      <c r="I57" s="10"/>
      <c r="J57" s="15"/>
    </row>
    <row r="58" spans="1:10" ht="13.5" thickBot="1" x14ac:dyDescent="0.25">
      <c r="A58" s="15"/>
      <c r="B58" s="11"/>
      <c r="C58" s="12"/>
      <c r="D58" s="12"/>
      <c r="E58" s="12"/>
      <c r="F58" s="12"/>
      <c r="G58" s="12"/>
      <c r="H58" s="14"/>
      <c r="I58" s="13"/>
      <c r="J58" s="15"/>
    </row>
    <row r="59" spans="1:10" ht="13.5" thickBot="1" x14ac:dyDescent="0.25">
      <c r="A59" s="15"/>
      <c r="B59" s="15"/>
      <c r="C59" s="15"/>
      <c r="D59" s="15"/>
      <c r="E59" s="15"/>
      <c r="F59" s="15"/>
      <c r="G59" s="15"/>
      <c r="H59" s="49"/>
      <c r="I59" s="15"/>
      <c r="J59" s="15"/>
    </row>
    <row r="60" spans="1:10" ht="13.5" thickBot="1" x14ac:dyDescent="0.25">
      <c r="A60" s="15"/>
      <c r="B60" s="5"/>
      <c r="C60" s="6" t="s">
        <v>13</v>
      </c>
      <c r="D60" s="6" t="s">
        <v>5</v>
      </c>
      <c r="E60" s="6" t="s">
        <v>15</v>
      </c>
      <c r="F60" s="6" t="s">
        <v>19</v>
      </c>
      <c r="G60" s="6" t="s">
        <v>22</v>
      </c>
      <c r="H60" s="6"/>
      <c r="I60" s="7"/>
      <c r="J60" s="15"/>
    </row>
    <row r="61" spans="1:10" ht="13.5" thickBot="1" x14ac:dyDescent="0.25">
      <c r="A61" s="15"/>
      <c r="B61" s="8" t="s">
        <v>30</v>
      </c>
      <c r="C61" s="33" t="s">
        <v>14</v>
      </c>
      <c r="D61" s="33" t="s">
        <v>17</v>
      </c>
      <c r="E61" s="33">
        <v>1</v>
      </c>
      <c r="F61" s="33" t="s">
        <v>20</v>
      </c>
      <c r="G61" s="9"/>
      <c r="H61" s="9"/>
      <c r="I61" s="10"/>
      <c r="J61" s="15"/>
    </row>
    <row r="62" spans="1:10" ht="13.5" thickBot="1" x14ac:dyDescent="0.25">
      <c r="A62" s="15"/>
      <c r="B62" s="8"/>
      <c r="C62" s="3"/>
      <c r="D62" s="3"/>
      <c r="E62" s="3"/>
      <c r="F62" s="3"/>
      <c r="G62" s="3" t="str">
        <f>IF(C61="Pipe", "Length (ft)", "Height (ft)")</f>
        <v>Height (ft)</v>
      </c>
      <c r="H62" s="33"/>
      <c r="I62" s="10"/>
      <c r="J62" s="15"/>
    </row>
    <row r="63" spans="1:10" ht="13.5" thickBot="1" x14ac:dyDescent="0.25">
      <c r="A63" s="15"/>
      <c r="B63" s="8"/>
      <c r="C63" s="3"/>
      <c r="D63" s="3"/>
      <c r="E63" s="3"/>
      <c r="F63" s="3"/>
      <c r="G63" s="3" t="str">
        <f>IF(F61="Rectangular", "Width (ft)", "Diameter (ft)")</f>
        <v>Diameter (ft)</v>
      </c>
      <c r="H63" s="33"/>
      <c r="I63" s="10"/>
      <c r="J63" s="15"/>
    </row>
    <row r="64" spans="1:10" ht="13.5" thickBot="1" x14ac:dyDescent="0.25">
      <c r="A64" s="15"/>
      <c r="B64" s="8"/>
      <c r="C64" s="51" t="s">
        <v>85</v>
      </c>
      <c r="D64" s="52">
        <f>IF($F61="Rectangular",$H63*$H64*7.48*$E61, IF((AND($F61="Circular",$C61&lt;&gt;"Pipe")), ($H63/2)^2*3.14159*7.48*E4, ($H63/2)^2*3.14159*7.48*$H62))</f>
        <v>0</v>
      </c>
      <c r="E64" s="3"/>
      <c r="F64" s="3"/>
      <c r="G64" s="3" t="str">
        <f>IF(F61="Rectangular", "Length (ft)", "")</f>
        <v/>
      </c>
      <c r="H64" s="33"/>
      <c r="I64" s="10"/>
      <c r="J64" s="15"/>
    </row>
    <row r="65" spans="1:10" ht="13.5" thickBot="1" x14ac:dyDescent="0.25">
      <c r="A65" s="15"/>
      <c r="B65" s="8"/>
      <c r="C65" s="51" t="s">
        <v>84</v>
      </c>
      <c r="D65" s="52">
        <f>SUM($H66:$H68)</f>
        <v>0</v>
      </c>
      <c r="E65" s="3"/>
      <c r="F65" s="3"/>
      <c r="G65" s="3"/>
      <c r="H65" s="9"/>
      <c r="I65" s="10"/>
      <c r="J65" s="15"/>
    </row>
    <row r="66" spans="1:10" ht="13.5" thickBot="1" x14ac:dyDescent="0.25">
      <c r="A66" s="15"/>
      <c r="B66" s="8"/>
      <c r="C66" s="3"/>
      <c r="D66" s="3"/>
      <c r="E66" s="3"/>
      <c r="F66" s="3"/>
      <c r="G66" s="3" t="str">
        <f>IF(C61="Filtration", "Media Volume (Gal)", "")</f>
        <v/>
      </c>
      <c r="H66" s="33"/>
      <c r="I66" s="10"/>
      <c r="J66" s="15"/>
    </row>
    <row r="67" spans="1:10" ht="13.5" thickBot="1" x14ac:dyDescent="0.25">
      <c r="A67" s="15"/>
      <c r="B67" s="8"/>
      <c r="C67" s="3"/>
      <c r="D67" s="3"/>
      <c r="E67" s="3"/>
      <c r="F67" s="3"/>
      <c r="G67" s="3" t="str">
        <f>IF(C61="Filtration", "Gravel Volume (Gal)", "")</f>
        <v/>
      </c>
      <c r="H67" s="33"/>
      <c r="I67" s="10"/>
      <c r="J67" s="15"/>
    </row>
    <row r="68" spans="1:10" ht="13.5" thickBot="1" x14ac:dyDescent="0.25">
      <c r="A68" s="15"/>
      <c r="B68" s="8"/>
      <c r="C68" s="3"/>
      <c r="D68" s="3"/>
      <c r="E68" s="3"/>
      <c r="F68" s="3"/>
      <c r="G68" s="3" t="str">
        <f>IF(C61="Filtration", "Underdrain Volume (Gal)", "")</f>
        <v/>
      </c>
      <c r="H68" s="33"/>
      <c r="I68" s="10"/>
      <c r="J68" s="15"/>
    </row>
    <row r="69" spans="1:10" ht="13.5" thickBot="1" x14ac:dyDescent="0.25">
      <c r="A69" s="15"/>
      <c r="B69" s="11"/>
      <c r="C69" s="12"/>
      <c r="D69" s="12"/>
      <c r="E69" s="12"/>
      <c r="F69" s="12"/>
      <c r="G69" s="12"/>
      <c r="H69" s="14"/>
      <c r="I69" s="13"/>
      <c r="J69" s="15"/>
    </row>
    <row r="70" spans="1:10" x14ac:dyDescent="0.2">
      <c r="A70" s="15"/>
      <c r="B70" s="15"/>
      <c r="C70" s="15"/>
      <c r="D70" s="15"/>
      <c r="E70" s="15"/>
      <c r="F70" s="15"/>
      <c r="G70" s="15"/>
      <c r="H70" s="49"/>
      <c r="I70" s="15"/>
      <c r="J70" s="15"/>
    </row>
    <row r="71" spans="1:10" x14ac:dyDescent="0.2">
      <c r="A71" s="15"/>
      <c r="B71" s="15"/>
      <c r="C71" s="15"/>
      <c r="D71" s="15"/>
      <c r="E71" s="15"/>
      <c r="F71" s="15"/>
      <c r="G71" s="15"/>
      <c r="H71" s="49"/>
      <c r="I71" s="15"/>
      <c r="J71" s="15"/>
    </row>
    <row r="72" spans="1:10" ht="13.5" thickBot="1" x14ac:dyDescent="0.25">
      <c r="A72" s="15"/>
      <c r="B72" s="15"/>
      <c r="C72" s="15"/>
      <c r="D72" s="15"/>
      <c r="E72" s="15"/>
      <c r="F72" s="15"/>
      <c r="G72" s="15"/>
      <c r="H72" s="49"/>
      <c r="I72" s="15"/>
      <c r="J72" s="15"/>
    </row>
    <row r="73" spans="1:10" ht="13.5" thickBot="1" x14ac:dyDescent="0.25">
      <c r="A73" s="15"/>
      <c r="B73" s="5"/>
      <c r="C73" s="6" t="s">
        <v>13</v>
      </c>
      <c r="D73" s="6" t="s">
        <v>5</v>
      </c>
      <c r="E73" s="6" t="s">
        <v>15</v>
      </c>
      <c r="F73" s="6" t="s">
        <v>19</v>
      </c>
      <c r="G73" s="6" t="s">
        <v>22</v>
      </c>
      <c r="H73" s="6"/>
      <c r="I73" s="7"/>
      <c r="J73" s="15"/>
    </row>
    <row r="74" spans="1:10" ht="13.5" thickBot="1" x14ac:dyDescent="0.25">
      <c r="A74" s="15"/>
      <c r="B74" s="8" t="s">
        <v>31</v>
      </c>
      <c r="C74" s="33" t="s">
        <v>14</v>
      </c>
      <c r="D74" s="33" t="s">
        <v>17</v>
      </c>
      <c r="E74" s="33">
        <v>1</v>
      </c>
      <c r="F74" s="33" t="s">
        <v>20</v>
      </c>
      <c r="G74" s="9"/>
      <c r="H74" s="9"/>
      <c r="I74" s="10"/>
      <c r="J74" s="15"/>
    </row>
    <row r="75" spans="1:10" ht="13.5" thickBot="1" x14ac:dyDescent="0.25">
      <c r="A75" s="15"/>
      <c r="B75" s="8"/>
      <c r="C75" s="3"/>
      <c r="D75" s="3"/>
      <c r="E75" s="3"/>
      <c r="F75" s="3"/>
      <c r="G75" s="3" t="str">
        <f>IF(C74="Pipe", "Length (ft)", "Height (ft)")</f>
        <v>Height (ft)</v>
      </c>
      <c r="H75" s="33"/>
      <c r="I75" s="10"/>
      <c r="J75" s="15"/>
    </row>
    <row r="76" spans="1:10" ht="13.5" thickBot="1" x14ac:dyDescent="0.25">
      <c r="A76" s="15"/>
      <c r="B76" s="8"/>
      <c r="C76" s="3"/>
      <c r="D76" s="3"/>
      <c r="E76" s="3"/>
      <c r="F76" s="3"/>
      <c r="G76" s="3" t="str">
        <f>IF(F74="Rectangular", "Width (ft)", "Diameter (ft)")</f>
        <v>Diameter (ft)</v>
      </c>
      <c r="H76" s="33"/>
      <c r="I76" s="10"/>
      <c r="J76" s="15"/>
    </row>
    <row r="77" spans="1:10" ht="13.5" thickBot="1" x14ac:dyDescent="0.25">
      <c r="A77" s="15"/>
      <c r="B77" s="8"/>
      <c r="C77" s="51" t="s">
        <v>85</v>
      </c>
      <c r="D77" s="52">
        <f>IF($F74="Rectangular",$H76*$H77*7.48*$E74, IF((AND($F74="Circular",$C74&lt;&gt;"Pipe")), ($H76/2)^2*3.14159*7.48*E4, ($H76/2)^2*3.14159*7.48*$H75))</f>
        <v>0</v>
      </c>
      <c r="E77" s="3"/>
      <c r="F77" s="3"/>
      <c r="G77" s="3" t="str">
        <f>IF(F74="Rectangular", "Length (ft)", "")</f>
        <v/>
      </c>
      <c r="H77" s="33"/>
      <c r="I77" s="10"/>
      <c r="J77" s="15"/>
    </row>
    <row r="78" spans="1:10" ht="13.5" thickBot="1" x14ac:dyDescent="0.25">
      <c r="A78" s="15"/>
      <c r="B78" s="8"/>
      <c r="C78" s="51" t="s">
        <v>84</v>
      </c>
      <c r="D78" s="52">
        <f>SUM($H79:$H81)</f>
        <v>0</v>
      </c>
      <c r="E78" s="3"/>
      <c r="F78" s="3"/>
      <c r="G78" s="3"/>
      <c r="H78" s="9"/>
      <c r="I78" s="10"/>
      <c r="J78" s="15"/>
    </row>
    <row r="79" spans="1:10" ht="13.5" thickBot="1" x14ac:dyDescent="0.25">
      <c r="A79" s="15"/>
      <c r="B79" s="8"/>
      <c r="C79" s="3"/>
      <c r="D79" s="3"/>
      <c r="E79" s="3"/>
      <c r="F79" s="3"/>
      <c r="G79" s="3" t="str">
        <f>IF(C74="Filtration", "Media Volume (Gal)", "")</f>
        <v/>
      </c>
      <c r="H79" s="33"/>
      <c r="I79" s="10"/>
      <c r="J79" s="15"/>
    </row>
    <row r="80" spans="1:10" ht="13.5" thickBot="1" x14ac:dyDescent="0.25">
      <c r="A80" s="15"/>
      <c r="B80" s="8"/>
      <c r="C80" s="3"/>
      <c r="D80" s="3"/>
      <c r="E80" s="3"/>
      <c r="F80" s="3"/>
      <c r="G80" s="3" t="str">
        <f>IF(C74="Filtration", "Gravel Volume (Gal)", "")</f>
        <v/>
      </c>
      <c r="H80" s="33"/>
      <c r="I80" s="10"/>
      <c r="J80" s="15"/>
    </row>
    <row r="81" spans="1:10" ht="13.5" thickBot="1" x14ac:dyDescent="0.25">
      <c r="A81" s="15"/>
      <c r="B81" s="8"/>
      <c r="C81" s="3"/>
      <c r="D81" s="3"/>
      <c r="E81" s="3"/>
      <c r="F81" s="3"/>
      <c r="G81" s="3" t="str">
        <f>IF(C74="Filtration", "Underdrain Volume (Gal)", "")</f>
        <v/>
      </c>
      <c r="H81" s="33"/>
      <c r="I81" s="10"/>
      <c r="J81" s="15"/>
    </row>
    <row r="82" spans="1:10" ht="13.5" thickBot="1" x14ac:dyDescent="0.25">
      <c r="A82" s="15"/>
      <c r="B82" s="11"/>
      <c r="C82" s="12"/>
      <c r="D82" s="12"/>
      <c r="E82" s="12"/>
      <c r="F82" s="12"/>
      <c r="G82" s="12"/>
      <c r="H82" s="14"/>
      <c r="I82" s="13"/>
      <c r="J82" s="15"/>
    </row>
    <row r="83" spans="1:10" ht="13.5" thickBot="1" x14ac:dyDescent="0.25">
      <c r="A83" s="15"/>
      <c r="B83" s="15"/>
      <c r="C83" s="15"/>
      <c r="D83" s="15"/>
      <c r="E83" s="15"/>
      <c r="F83" s="15"/>
      <c r="G83" s="15"/>
      <c r="H83" s="49"/>
      <c r="I83" s="15"/>
      <c r="J83" s="15"/>
    </row>
    <row r="84" spans="1:10" ht="13.5" thickBot="1" x14ac:dyDescent="0.25">
      <c r="A84" s="15"/>
      <c r="B84" s="5"/>
      <c r="C84" s="6" t="s">
        <v>13</v>
      </c>
      <c r="D84" s="6" t="s">
        <v>5</v>
      </c>
      <c r="E84" s="6" t="s">
        <v>15</v>
      </c>
      <c r="F84" s="6" t="s">
        <v>19</v>
      </c>
      <c r="G84" s="6" t="s">
        <v>22</v>
      </c>
      <c r="H84" s="6"/>
      <c r="I84" s="7"/>
      <c r="J84" s="15"/>
    </row>
    <row r="85" spans="1:10" ht="13.5" thickBot="1" x14ac:dyDescent="0.25">
      <c r="A85" s="15"/>
      <c r="B85" s="8" t="s">
        <v>32</v>
      </c>
      <c r="C85" s="33" t="s">
        <v>14</v>
      </c>
      <c r="D85" s="33" t="s">
        <v>17</v>
      </c>
      <c r="E85" s="33">
        <v>1</v>
      </c>
      <c r="F85" s="33" t="s">
        <v>20</v>
      </c>
      <c r="G85" s="9"/>
      <c r="H85" s="9"/>
      <c r="I85" s="10"/>
      <c r="J85" s="15"/>
    </row>
    <row r="86" spans="1:10" ht="13.5" thickBot="1" x14ac:dyDescent="0.25">
      <c r="A86" s="15"/>
      <c r="B86" s="8"/>
      <c r="C86" s="3"/>
      <c r="D86" s="3"/>
      <c r="E86" s="3"/>
      <c r="F86" s="3"/>
      <c r="G86" s="3" t="str">
        <f>IF(C85="Pipe", "Length (ft)", "Height (ft)")</f>
        <v>Height (ft)</v>
      </c>
      <c r="H86" s="33"/>
      <c r="I86" s="10"/>
      <c r="J86" s="15"/>
    </row>
    <row r="87" spans="1:10" ht="13.5" thickBot="1" x14ac:dyDescent="0.25">
      <c r="A87" s="15"/>
      <c r="B87" s="8"/>
      <c r="C87" s="3"/>
      <c r="D87" s="3"/>
      <c r="E87" s="3"/>
      <c r="F87" s="3"/>
      <c r="G87" s="3" t="str">
        <f>IF(F85="Rectangular", "Width (ft)", "Diameter (ft)")</f>
        <v>Diameter (ft)</v>
      </c>
      <c r="H87" s="33"/>
      <c r="I87" s="10"/>
      <c r="J87" s="15"/>
    </row>
    <row r="88" spans="1:10" ht="13.5" thickBot="1" x14ac:dyDescent="0.25">
      <c r="A88" s="15"/>
      <c r="B88" s="8"/>
      <c r="C88" s="51" t="s">
        <v>85</v>
      </c>
      <c r="D88" s="52">
        <f>IF($F85="Rectangular",$H87*$H88*7.48*$E85, IF((AND($F85="Circular",$C85&lt;&gt;"Pipe")), ($H87/2)^2*3.14159*7.48*E4, ($H87/2)^2*3.14159*7.48*$H86))</f>
        <v>0</v>
      </c>
      <c r="E88" s="3"/>
      <c r="F88" s="3"/>
      <c r="G88" s="3" t="str">
        <f>IF(F85="Rectangular", "Length (ft)", "")</f>
        <v/>
      </c>
      <c r="H88" s="33"/>
      <c r="I88" s="10"/>
      <c r="J88" s="15"/>
    </row>
    <row r="89" spans="1:10" ht="13.5" thickBot="1" x14ac:dyDescent="0.25">
      <c r="A89" s="15"/>
      <c r="B89" s="8"/>
      <c r="C89" s="51" t="s">
        <v>84</v>
      </c>
      <c r="D89" s="52">
        <f>SUM($H90:$H92)</f>
        <v>0</v>
      </c>
      <c r="E89" s="3"/>
      <c r="F89" s="3"/>
      <c r="G89" s="3"/>
      <c r="H89" s="9"/>
      <c r="I89" s="10"/>
      <c r="J89" s="15"/>
    </row>
    <row r="90" spans="1:10" ht="13.5" thickBot="1" x14ac:dyDescent="0.25">
      <c r="A90" s="15"/>
      <c r="B90" s="8"/>
      <c r="C90" s="3"/>
      <c r="D90" s="3"/>
      <c r="E90" s="3"/>
      <c r="F90" s="3"/>
      <c r="G90" s="3" t="str">
        <f>IF(C85="Filtration", "Media Volume (Gal)", "")</f>
        <v/>
      </c>
      <c r="H90" s="33"/>
      <c r="I90" s="10"/>
      <c r="J90" s="15"/>
    </row>
    <row r="91" spans="1:10" ht="13.5" thickBot="1" x14ac:dyDescent="0.25">
      <c r="A91" s="15"/>
      <c r="B91" s="8"/>
      <c r="C91" s="3"/>
      <c r="D91" s="3"/>
      <c r="E91" s="3"/>
      <c r="F91" s="3"/>
      <c r="G91" s="3" t="str">
        <f>IF(C85="Filtration", "Gravel Volume (Gal)", "")</f>
        <v/>
      </c>
      <c r="H91" s="33"/>
      <c r="I91" s="10"/>
      <c r="J91" s="15"/>
    </row>
    <row r="92" spans="1:10" ht="13.5" thickBot="1" x14ac:dyDescent="0.25">
      <c r="A92" s="15"/>
      <c r="B92" s="8"/>
      <c r="C92" s="3"/>
      <c r="D92" s="3"/>
      <c r="E92" s="3"/>
      <c r="F92" s="3"/>
      <c r="G92" s="3" t="str">
        <f>IF(C85="Filtration", "Underdrain Volume (Gal)", "")</f>
        <v/>
      </c>
      <c r="H92" s="33"/>
      <c r="I92" s="10"/>
      <c r="J92" s="15"/>
    </row>
    <row r="93" spans="1:10" ht="13.5" thickBot="1" x14ac:dyDescent="0.25">
      <c r="A93" s="15"/>
      <c r="B93" s="11"/>
      <c r="C93" s="12"/>
      <c r="D93" s="12"/>
      <c r="E93" s="12"/>
      <c r="F93" s="12"/>
      <c r="G93" s="12"/>
      <c r="H93" s="14"/>
      <c r="I93" s="13"/>
      <c r="J93" s="15"/>
    </row>
    <row r="94" spans="1:10" ht="13.5" thickBot="1" x14ac:dyDescent="0.25">
      <c r="A94" s="15"/>
      <c r="B94" s="15"/>
      <c r="C94" s="15"/>
      <c r="D94" s="15"/>
      <c r="E94" s="15"/>
      <c r="F94" s="15"/>
      <c r="G94" s="15"/>
      <c r="H94" s="49"/>
      <c r="I94" s="15"/>
      <c r="J94" s="15"/>
    </row>
    <row r="95" spans="1:10" ht="13.5" thickBot="1" x14ac:dyDescent="0.25">
      <c r="A95" s="15"/>
      <c r="B95" s="5"/>
      <c r="C95" s="6" t="s">
        <v>13</v>
      </c>
      <c r="D95" s="6" t="s">
        <v>5</v>
      </c>
      <c r="E95" s="6" t="s">
        <v>15</v>
      </c>
      <c r="F95" s="6" t="s">
        <v>19</v>
      </c>
      <c r="G95" s="6" t="s">
        <v>22</v>
      </c>
      <c r="H95" s="6"/>
      <c r="I95" s="7"/>
      <c r="J95" s="15"/>
    </row>
    <row r="96" spans="1:10" ht="13.5" thickBot="1" x14ac:dyDescent="0.25">
      <c r="A96" s="15"/>
      <c r="B96" s="8" t="s">
        <v>33</v>
      </c>
      <c r="C96" s="33" t="s">
        <v>14</v>
      </c>
      <c r="D96" s="33" t="s">
        <v>17</v>
      </c>
      <c r="E96" s="33">
        <v>1</v>
      </c>
      <c r="F96" s="33" t="s">
        <v>20</v>
      </c>
      <c r="G96" s="9"/>
      <c r="H96" s="9"/>
      <c r="I96" s="10"/>
      <c r="J96" s="15"/>
    </row>
    <row r="97" spans="1:10" ht="13.5" thickBot="1" x14ac:dyDescent="0.25">
      <c r="A97" s="15"/>
      <c r="B97" s="8"/>
      <c r="C97" s="3"/>
      <c r="D97" s="3"/>
      <c r="E97" s="3"/>
      <c r="F97" s="3"/>
      <c r="G97" s="3" t="str">
        <f>IF(C96="Pipe", "Length (ft)", "Height (ft)")</f>
        <v>Height (ft)</v>
      </c>
      <c r="H97" s="33"/>
      <c r="I97" s="10"/>
      <c r="J97" s="15"/>
    </row>
    <row r="98" spans="1:10" ht="13.5" thickBot="1" x14ac:dyDescent="0.25">
      <c r="A98" s="15"/>
      <c r="B98" s="8"/>
      <c r="C98" s="3"/>
      <c r="D98" s="3"/>
      <c r="E98" s="3"/>
      <c r="F98" s="3"/>
      <c r="G98" s="3" t="str">
        <f>IF(F96="Rectangular", "Width (ft)", "Diameter (ft)")</f>
        <v>Diameter (ft)</v>
      </c>
      <c r="H98" s="33"/>
      <c r="I98" s="10"/>
      <c r="J98" s="15"/>
    </row>
    <row r="99" spans="1:10" ht="13.5" thickBot="1" x14ac:dyDescent="0.25">
      <c r="A99" s="15"/>
      <c r="B99" s="8"/>
      <c r="C99" s="51" t="s">
        <v>85</v>
      </c>
      <c r="D99" s="52">
        <f>IF($F96="Rectangular",$H98*$H99*7.48*$E96, IF((AND($F96="Circular",$C96&lt;&gt;"Pipe")), ($H98/2)^2*3.14159*7.48*E4, ($H98/2)^2*3.14159*7.48*$H97))</f>
        <v>0</v>
      </c>
      <c r="E99" s="3"/>
      <c r="F99" s="3"/>
      <c r="G99" s="3" t="str">
        <f>IF(F96="Rectangular", "Length (ft)", "")</f>
        <v/>
      </c>
      <c r="H99" s="33"/>
      <c r="I99" s="10"/>
      <c r="J99" s="15"/>
    </row>
    <row r="100" spans="1:10" ht="13.5" thickBot="1" x14ac:dyDescent="0.25">
      <c r="A100" s="15"/>
      <c r="B100" s="8"/>
      <c r="C100" s="51" t="s">
        <v>84</v>
      </c>
      <c r="D100" s="52">
        <f>SUM($H101:$H103)</f>
        <v>0</v>
      </c>
      <c r="E100" s="3"/>
      <c r="F100" s="3"/>
      <c r="G100" s="3"/>
      <c r="H100" s="9"/>
      <c r="I100" s="10"/>
      <c r="J100" s="15"/>
    </row>
    <row r="101" spans="1:10" ht="13.5" thickBot="1" x14ac:dyDescent="0.25">
      <c r="A101" s="15"/>
      <c r="B101" s="8"/>
      <c r="C101" s="3"/>
      <c r="D101" s="3"/>
      <c r="E101" s="3"/>
      <c r="F101" s="3"/>
      <c r="G101" s="3" t="str">
        <f>IF(C96="Filtration", "Media Volume (Gal)", "")</f>
        <v/>
      </c>
      <c r="H101" s="33"/>
      <c r="I101" s="10"/>
      <c r="J101" s="15"/>
    </row>
    <row r="102" spans="1:10" ht="13.5" thickBot="1" x14ac:dyDescent="0.25">
      <c r="A102" s="15"/>
      <c r="B102" s="8"/>
      <c r="C102" s="3"/>
      <c r="D102" s="3"/>
      <c r="E102" s="3"/>
      <c r="F102" s="3"/>
      <c r="G102" s="3" t="str">
        <f>IF(C96="Filtration", "Gravel Volume (Gal)", "")</f>
        <v/>
      </c>
      <c r="H102" s="33"/>
      <c r="I102" s="10"/>
      <c r="J102" s="15"/>
    </row>
    <row r="103" spans="1:10" ht="13.5" thickBot="1" x14ac:dyDescent="0.25">
      <c r="A103" s="15"/>
      <c r="B103" s="8"/>
      <c r="C103" s="3"/>
      <c r="D103" s="3"/>
      <c r="E103" s="3"/>
      <c r="F103" s="3"/>
      <c r="G103" s="3" t="str">
        <f>IF(C96="Filtration", "Underdrain Volume (Gal)", "")</f>
        <v/>
      </c>
      <c r="H103" s="33"/>
      <c r="I103" s="10"/>
      <c r="J103" s="15"/>
    </row>
    <row r="104" spans="1:10" ht="13.5" thickBot="1" x14ac:dyDescent="0.25">
      <c r="A104" s="15"/>
      <c r="B104" s="11"/>
      <c r="C104" s="12"/>
      <c r="D104" s="12"/>
      <c r="E104" s="12"/>
      <c r="F104" s="12"/>
      <c r="G104" s="12"/>
      <c r="H104" s="14"/>
      <c r="I104" s="13"/>
      <c r="J104" s="15"/>
    </row>
    <row r="105" spans="1:10" x14ac:dyDescent="0.2">
      <c r="A105" s="15"/>
      <c r="B105" s="15"/>
      <c r="C105" s="15"/>
      <c r="D105" s="15"/>
      <c r="E105" s="15"/>
      <c r="F105" s="15"/>
      <c r="G105" s="15"/>
      <c r="H105" s="49"/>
      <c r="I105" s="15"/>
      <c r="J105" s="15"/>
    </row>
    <row r="106" spans="1:10" x14ac:dyDescent="0.2">
      <c r="A106" s="15"/>
    </row>
  </sheetData>
  <sheetProtection password="C724" sheet="1" objects="1" scenarios="1" selectLockedCells="1"/>
  <phoneticPr fontId="2" type="noConversion"/>
  <dataValidations count="5">
    <dataValidation type="list" allowBlank="1" showInputMessage="1" showErrorMessage="1" sqref="C4 C85 C15 C26 C39 C50 C61 C74 C96">
      <formula1>$L$3:$L$9</formula1>
    </dataValidation>
    <dataValidation type="list" allowBlank="1" showInputMessage="1" showErrorMessage="1" sqref="D4 D85 D15 D26 D39 D50 D61 D74 D96">
      <formula1>$M$3:$M$7</formula1>
    </dataValidation>
    <dataValidation type="list" allowBlank="1" showInputMessage="1" showErrorMessage="1" sqref="E4 E85 E15 E26 E39 E50 E61 E74 E96">
      <formula1>$N$3:$N$9</formula1>
    </dataValidation>
    <dataValidation type="list" allowBlank="1" showInputMessage="1" showErrorMessage="1" sqref="F4 F85 F15 F26 F39 F50 F61 F74 F96">
      <formula1>$O$3:$O$4</formula1>
    </dataValidation>
    <dataValidation type="decimal" operator="greaterThanOrEqual" allowBlank="1" showInputMessage="1" showErrorMessage="1" sqref="H5:H103">
      <formula1>0</formula1>
    </dataValidation>
  </dataValidations>
  <printOptions horizontalCentered="1" verticalCentered="1"/>
  <pageMargins left="0.25" right="0.25" top="0.5" bottom="0.5" header="0.5" footer="0.5"/>
  <pageSetup scale="52"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C181"/>
  <sheetViews>
    <sheetView showGridLines="0" topLeftCell="A4" zoomScale="80" workbookViewId="0">
      <selection activeCell="E18" sqref="E18"/>
    </sheetView>
  </sheetViews>
  <sheetFormatPr defaultRowHeight="12.75" x14ac:dyDescent="0.2"/>
  <cols>
    <col min="1" max="1" width="6" customWidth="1"/>
    <col min="2" max="2" width="13.140625" bestFit="1" customWidth="1"/>
    <col min="3" max="3" width="15.28515625" customWidth="1"/>
    <col min="4" max="4" width="15.28515625" bestFit="1" customWidth="1"/>
    <col min="6" max="6" width="7.140625" customWidth="1"/>
    <col min="7" max="7" width="10.140625" customWidth="1"/>
    <col min="8" max="8" width="11.140625" customWidth="1"/>
    <col min="9" max="9" width="8.28515625" customWidth="1"/>
    <col min="10" max="10" width="9.5703125" customWidth="1"/>
    <col min="11" max="11" width="10.7109375" customWidth="1"/>
    <col min="12" max="12" width="11" customWidth="1"/>
    <col min="13" max="13" width="11.28515625" customWidth="1"/>
    <col min="14" max="14" width="18.85546875" customWidth="1"/>
    <col min="16" max="16" width="13.140625" bestFit="1" customWidth="1"/>
    <col min="17" max="17" width="15.7109375" bestFit="1" customWidth="1"/>
    <col min="18" max="18" width="15.28515625" bestFit="1" customWidth="1"/>
    <col min="22" max="22" width="10.7109375" customWidth="1"/>
    <col min="26" max="26" width="10.85546875" bestFit="1" customWidth="1"/>
    <col min="28" max="28" width="16.28515625" customWidth="1"/>
    <col min="30" max="30" width="13.140625" bestFit="1" customWidth="1"/>
    <col min="31" max="31" width="15.7109375" bestFit="1" customWidth="1"/>
    <col min="32" max="32" width="15.28515625" bestFit="1" customWidth="1"/>
    <col min="36" max="36" width="10.7109375" customWidth="1"/>
    <col min="40" max="40" width="10.85546875" bestFit="1" customWidth="1"/>
    <col min="44" max="44" width="12.7109375" bestFit="1" customWidth="1"/>
    <col min="45" max="45" width="15.7109375" bestFit="1" customWidth="1"/>
    <col min="46" max="46" width="15.28515625" bestFit="1" customWidth="1"/>
    <col min="50" max="50" width="10.5703125" customWidth="1"/>
    <col min="54" max="54" width="10.85546875" bestFit="1" customWidth="1"/>
  </cols>
  <sheetData>
    <row r="1" spans="1:55" s="15" customFormat="1" ht="6.75" customHeight="1" thickBot="1" x14ac:dyDescent="0.25"/>
    <row r="2" spans="1:55" ht="51.75" customHeight="1" thickBot="1" x14ac:dyDescent="0.25">
      <c r="A2" s="79" t="s">
        <v>34</v>
      </c>
      <c r="B2" s="6" t="s">
        <v>23</v>
      </c>
      <c r="C2" s="16" t="s">
        <v>83</v>
      </c>
      <c r="D2" s="6" t="s">
        <v>38</v>
      </c>
      <c r="E2" s="16" t="s">
        <v>45</v>
      </c>
      <c r="F2" s="16" t="s">
        <v>6</v>
      </c>
      <c r="G2" s="16" t="s">
        <v>37</v>
      </c>
      <c r="H2" s="16" t="s">
        <v>35</v>
      </c>
      <c r="I2" s="16" t="s">
        <v>46</v>
      </c>
      <c r="J2" s="16" t="s">
        <v>39</v>
      </c>
      <c r="K2" s="16" t="s">
        <v>40</v>
      </c>
      <c r="L2" s="16" t="s">
        <v>41</v>
      </c>
      <c r="M2" s="17" t="s">
        <v>36</v>
      </c>
      <c r="N2" s="15"/>
      <c r="O2" s="79" t="s">
        <v>49</v>
      </c>
      <c r="P2" s="6" t="s">
        <v>23</v>
      </c>
      <c r="Q2" s="16" t="s">
        <v>83</v>
      </c>
      <c r="R2" s="6" t="s">
        <v>38</v>
      </c>
      <c r="S2" s="16" t="s">
        <v>45</v>
      </c>
      <c r="T2" s="16" t="s">
        <v>6</v>
      </c>
      <c r="U2" s="16" t="s">
        <v>37</v>
      </c>
      <c r="V2" s="16" t="s">
        <v>35</v>
      </c>
      <c r="W2" s="16" t="s">
        <v>46</v>
      </c>
      <c r="X2" s="16" t="s">
        <v>39</v>
      </c>
      <c r="Y2" s="16" t="s">
        <v>40</v>
      </c>
      <c r="Z2" s="16" t="s">
        <v>41</v>
      </c>
      <c r="AA2" s="17" t="s">
        <v>36</v>
      </c>
      <c r="AC2" s="79" t="s">
        <v>68</v>
      </c>
      <c r="AD2" s="6" t="s">
        <v>23</v>
      </c>
      <c r="AE2" s="16" t="s">
        <v>83</v>
      </c>
      <c r="AF2" s="6" t="s">
        <v>38</v>
      </c>
      <c r="AG2" s="16" t="s">
        <v>45</v>
      </c>
      <c r="AH2" s="16" t="s">
        <v>6</v>
      </c>
      <c r="AI2" s="16" t="s">
        <v>37</v>
      </c>
      <c r="AJ2" s="16" t="s">
        <v>35</v>
      </c>
      <c r="AK2" s="16" t="s">
        <v>46</v>
      </c>
      <c r="AL2" s="16" t="s">
        <v>39</v>
      </c>
      <c r="AM2" s="16" t="s">
        <v>40</v>
      </c>
      <c r="AN2" s="16" t="s">
        <v>41</v>
      </c>
      <c r="AO2" s="17" t="s">
        <v>36</v>
      </c>
      <c r="AQ2" s="79" t="s">
        <v>72</v>
      </c>
      <c r="AR2" s="6" t="s">
        <v>23</v>
      </c>
      <c r="AS2" s="16" t="s">
        <v>83</v>
      </c>
      <c r="AT2" s="6" t="s">
        <v>38</v>
      </c>
      <c r="AU2" s="16" t="s">
        <v>45</v>
      </c>
      <c r="AV2" s="16" t="s">
        <v>6</v>
      </c>
      <c r="AW2" s="16" t="s">
        <v>37</v>
      </c>
      <c r="AX2" s="16" t="s">
        <v>35</v>
      </c>
      <c r="AY2" s="16" t="s">
        <v>46</v>
      </c>
      <c r="AZ2" s="16" t="s">
        <v>39</v>
      </c>
      <c r="BA2" s="16" t="s">
        <v>40</v>
      </c>
      <c r="BB2" s="16" t="s">
        <v>41</v>
      </c>
      <c r="BC2" s="17" t="s">
        <v>36</v>
      </c>
    </row>
    <row r="3" spans="1:55" ht="13.5" thickBot="1" x14ac:dyDescent="0.25">
      <c r="A3" s="80"/>
      <c r="B3" s="3" t="str">
        <f>Segments!$C$4</f>
        <v>Rapid Mix</v>
      </c>
      <c r="C3" s="34">
        <v>1400</v>
      </c>
      <c r="D3" s="33">
        <v>12</v>
      </c>
      <c r="E3" s="33">
        <v>0.3</v>
      </c>
      <c r="F3" s="33">
        <v>6.9</v>
      </c>
      <c r="G3" s="35">
        <v>19</v>
      </c>
      <c r="H3" s="27">
        <f>IF(Segments!$C$4="Not In Use",0, (IF(Segments!$F$4="Rectangular",Segments!$D$7*D3-Segments!$D$8, IF(Segments!$C$4="Pipe",Segments!$D$7,Segments!$D$7*D3))))</f>
        <v>4392.63</v>
      </c>
      <c r="I3" s="30">
        <f>IF(Segments!$C$4="Not In Use", 0, IF(C3=0,0,H3*E3/C3))</f>
        <v>0.94127785714285717</v>
      </c>
      <c r="J3" s="21">
        <f>IF(I3=0, 0,IF(Segments!$D$4="Chlorine", (I3*EXP(0.071*G3)-0.42)/2.94, IF(Segments!$D$4="Chlorine Dioxide", (I3*EXP(0.072*G3)+35.15)/21.25, IF(Segments!$D$4="Ozone", (I3*EXP(0.068*G3)-0.01)/0.47, IF(Segments!$D$4="Chloramines", (I3*EXP(0.071*G3)+410.7)/849.5, 0)))))</f>
        <v>1.0909116133450996</v>
      </c>
      <c r="K3" s="20">
        <f>IF(I3=0, 0,IF(Segments!$D$4="Chlorine", I3/(0.2828*F3^2.69*E3^0.15*0.933^(G3-5)), IF(Segments!$D$4="Chlorine Dioxide", ((I3*G3^0.49)+0.18)/23.85, IF(Segments!$D$4="Ozone", (I3*EXP(0.072*G3)-0.01)/0.98, IF(Segments!$D$4="Chloramines", (I3/(858.5-(24.3*G3))), 0)))))</f>
        <v>5.8320761032030599E-2</v>
      </c>
      <c r="L3" s="24">
        <f>J3/4</f>
        <v>0.27272790333627489</v>
      </c>
      <c r="M3" s="21">
        <f>K3/3</f>
        <v>1.9440253677343533E-2</v>
      </c>
      <c r="N3" s="15"/>
      <c r="O3" s="80"/>
      <c r="P3" s="3" t="str">
        <f>Segments!$C$4</f>
        <v>Rapid Mix</v>
      </c>
      <c r="Q3" s="34">
        <v>1400</v>
      </c>
      <c r="R3" s="33">
        <v>12</v>
      </c>
      <c r="S3" s="33">
        <v>0.3</v>
      </c>
      <c r="T3" s="33">
        <v>6.9</v>
      </c>
      <c r="U3" s="35">
        <v>19</v>
      </c>
      <c r="V3" s="27">
        <f>IF(Segments!$C$4="Not In Use",0, (IF(Segments!$F$4="Rectangular",Segments!$D$7*R3-Segments!$D$8, IF(Segments!$C$4="Pipe",Segments!$D$7,Segments!$D$7*R3))))</f>
        <v>4392.63</v>
      </c>
      <c r="W3" s="30">
        <f>IF(Segments!$C$4="Not In Use", 0, IF(Q3=0,0,V3*S3/Q3))</f>
        <v>0.94127785714285717</v>
      </c>
      <c r="X3" s="21">
        <f>IF(W3=0, 0,IF(Segments!$D$4="Chlorine", (W3*EXP(0.071*U3)-0.42)/2.94, IF(Segments!$D$4="Chlorine Dioxide", (W3*EXP(0.072*U3)+35.15)/21.25, IF(Segments!$D$4="Ozone", (W3*EXP(0.068*U3)-0.01)/0.47, IF(Segments!$D$4="Chloramines", (W3*EXP(0.071*U3)+410.7)/849.5, 0)))))</f>
        <v>1.0909116133450996</v>
      </c>
      <c r="Y3" s="20">
        <f>IF(W3=0, 0,IF(Segments!$D$4="Chlorine", W3/(0.2828*T3^2.69*S3^0.15*0.933^(U3-5)), IF(Segments!$D$4="Chlorine Dioxide", ((W3*U3^0.49)+0.18)/23.85, IF(Segments!$D$4="Ozone", (W3*EXP(0.072*U3)-0.01)/0.98, IF(Segments!$D$4="Chloramines", (W3/(858.5-(24.3*U3))), 0)))))</f>
        <v>5.8320761032030599E-2</v>
      </c>
      <c r="Z3" s="24">
        <f>X3/4</f>
        <v>0.27272790333627489</v>
      </c>
      <c r="AA3" s="21">
        <f>Y3/3</f>
        <v>1.9440253677343533E-2</v>
      </c>
      <c r="AC3" s="80"/>
      <c r="AD3" s="3" t="str">
        <f>Segments!$C$4</f>
        <v>Rapid Mix</v>
      </c>
      <c r="AE3" s="34">
        <v>1400</v>
      </c>
      <c r="AF3" s="33">
        <v>10</v>
      </c>
      <c r="AG3" s="33">
        <v>1.5</v>
      </c>
      <c r="AH3" s="33">
        <v>7.5</v>
      </c>
      <c r="AI3" s="35">
        <v>15</v>
      </c>
      <c r="AJ3" s="27">
        <f>IF(Segments!$C$4="Not In Use",0, (IF(Segments!$F$4="Rectangular",Segments!$D$7*AF3-Segments!$D$8, IF(Segments!$C$4="Pipe",Segments!$D$7,Segments!$D$7*AF3))))</f>
        <v>3660.5250000000001</v>
      </c>
      <c r="AK3" s="30">
        <f>IF(Segments!$C$4="Not In Use", 0, IF(AE3=0,0,AJ3*AG3/AE3))</f>
        <v>3.9219910714285717</v>
      </c>
      <c r="AL3" s="21">
        <f>IF(AK3=0, 0,IF(Segments!$D$4="Chlorine", (AK3*EXP(0.071*AI3)-0.42)/2.94, IF(Segments!$D$4="Chlorine Dioxide", (AK3*EXP(0.072*AI3)+35.15)/21.25, IF(Segments!$D$4="Ozone", (AK3*EXP(0.068*AI3)-0.01)/0.47, IF(Segments!$D$4="Chloramines", (AK3*EXP(0.071*AI3)+410.7)/849.5, 0)))))</f>
        <v>3.7268927194332697</v>
      </c>
      <c r="AM3" s="20">
        <f>IF(AK3=0, 0,IF(Segments!$D$4="Chlorine", AK3/(0.2828*AH3^2.69*AG3^0.15*0.933^(AI3-5)), IF(Segments!$D$4="Chlorine Dioxide", ((AK3*AI3^0.49)+0.18)/23.85, IF(Segments!$D$4="Ozone", (AK3*EXP(0.072*AI3)-0.01)/0.98, IF(Segments!$D$4="Chloramines", (AK3/(858.5-(24.3*AI3))), 0)))))</f>
        <v>0.11557988836844089</v>
      </c>
      <c r="AN3" s="24">
        <f>AL3/4</f>
        <v>0.93172317985831743</v>
      </c>
      <c r="AO3" s="21">
        <f>AM3/3</f>
        <v>3.8526629456146967E-2</v>
      </c>
      <c r="AQ3" s="80"/>
      <c r="AR3" s="3" t="str">
        <f>Segments!$C$4</f>
        <v>Rapid Mix</v>
      </c>
      <c r="AS3" s="34">
        <v>1400</v>
      </c>
      <c r="AT3" s="33">
        <v>10</v>
      </c>
      <c r="AU3" s="33">
        <v>1.5</v>
      </c>
      <c r="AV3" s="33">
        <v>7.5</v>
      </c>
      <c r="AW3" s="35">
        <v>15</v>
      </c>
      <c r="AX3" s="27">
        <f>IF(Segments!$C$4="Not In Use",0, (IF(Segments!$F$4="Rectangular",Segments!$D$7*AT3-Segments!$D$8, IF(Segments!$C$4="Pipe",Segments!$D$7,Segments!$D$7*AT3))))</f>
        <v>3660.5250000000001</v>
      </c>
      <c r="AY3" s="30">
        <f>IF(Segments!$C$4="Not In Use", 0, IF(AS3=0,0,AX3*AU3/AS3))</f>
        <v>3.9219910714285717</v>
      </c>
      <c r="AZ3" s="21">
        <f>IF(AY3=0, 0,IF(Segments!$D$4="Chlorine", (AY3*EXP(0.071*AW3)-0.42)/2.94, IF(Segments!$D$4="Chlorine Dioxide", (AY3*EXP(0.072*AW3)+35.15)/21.25, IF(Segments!$D$4="Ozone", (AY3*EXP(0.068*AW3)-0.01)/0.47, IF(Segments!$D$4="Chloramines", (AY3*EXP(0.071*AW3)+410.7)/849.5, 0)))))</f>
        <v>3.7268927194332697</v>
      </c>
      <c r="BA3" s="20">
        <f>IF(AY3=0, 0,IF(Segments!$D$4="Chlorine", AY3/(0.2828*AV3^2.69*AU3^0.15*0.933^(AW3-5)), IF(Segments!$D$4="Chlorine Dioxide", ((AY3*AW3^0.49)+0.18)/23.85, IF(Segments!$D$4="Ozone", (AY3*EXP(0.072*AW3)-0.01)/0.98, IF(Segments!$D$4="Chloramines", (AY3/(858.5-(24.3*AW3))), 0)))))</f>
        <v>0.11557988836844089</v>
      </c>
      <c r="BB3" s="24">
        <f>AZ3/4</f>
        <v>0.93172317985831743</v>
      </c>
      <c r="BC3" s="21">
        <f>BA3/3</f>
        <v>3.8526629456146967E-2</v>
      </c>
    </row>
    <row r="4" spans="1:55" ht="13.5" thickBot="1" x14ac:dyDescent="0.25">
      <c r="A4" s="80"/>
      <c r="B4" s="3" t="str">
        <f>Segments!$C$15</f>
        <v>Flocculation</v>
      </c>
      <c r="C4" s="33">
        <v>1400</v>
      </c>
      <c r="D4" s="33">
        <v>12</v>
      </c>
      <c r="E4" s="33">
        <v>0</v>
      </c>
      <c r="F4" s="33">
        <v>6.9</v>
      </c>
      <c r="G4" s="35">
        <v>19</v>
      </c>
      <c r="H4" s="28">
        <f>IF(Segments!$C$15="Not In Use",0, (IF(Segments!$F$15="Rectangular",Segments!$D$18*D4-Segments!$D$19, IF(Segments!$C$15="Pipe",Segments!$D$18,Segments!$D$18*D4))))</f>
        <v>0</v>
      </c>
      <c r="I4" s="31">
        <f>IF(Segments!$C$4="Not In Use", 0, IF(C4=0,0,H4*E4/C4))</f>
        <v>0</v>
      </c>
      <c r="J4" s="19">
        <f>IF(I4=0, 0,IF(Segments!$D$15="Chlorine", (I4*EXP(0.071*G4)-0.42)/2.94, IF(Segments!$D$15="Chlorine Dioxide", (I4*EXP(0.072*G4)+35.15)/21.25, IF(Segments!$D$15="Ozone", (I4*EXP(0.068*G4)-0.01)/0.47, IF(Segments!$D$15="Chloramines", (I4*EXP(0.071*G4)+410.7)/849.5, 0)))))</f>
        <v>0</v>
      </c>
      <c r="K4" s="18">
        <f>IF(I4=0, 0,IF(Segments!$D$15="Chlorine", I4/(0.2828*F4^2.69*E4^0.15*0.933^(G4-5)), IF(Segments!$D$15="Chlorine Dioxide", ((I4*G4^0.49)+0.18)/23.85, IF(Segments!$D$15="Ozone", (I4*exp^(0.072*G4)-0.01)/0.98, IF(Segments!$D$15="Chloramines", (I4/(858.5-(24.3*G4))), 0)))))</f>
        <v>0</v>
      </c>
      <c r="L4" s="25">
        <f t="shared" ref="L4:L11" si="0">J4/4</f>
        <v>0</v>
      </c>
      <c r="M4" s="19">
        <f t="shared" ref="M4:M11" si="1">K4/3</f>
        <v>0</v>
      </c>
      <c r="N4" s="15"/>
      <c r="O4" s="80"/>
      <c r="P4" s="3" t="str">
        <f>Segments!$C$15</f>
        <v>Flocculation</v>
      </c>
      <c r="Q4" s="33">
        <v>1400</v>
      </c>
      <c r="R4" s="33">
        <v>12</v>
      </c>
      <c r="S4" s="33">
        <v>0</v>
      </c>
      <c r="T4" s="33">
        <v>6.9</v>
      </c>
      <c r="U4" s="35">
        <v>19</v>
      </c>
      <c r="V4" s="28">
        <f>IF(Segments!$C$15="Not In Use",0, (IF(Segments!$F$15="Rectangular",Segments!$D$18*R4-Segments!$D$19, IF(Segments!$C$15="Pipe",Segments!$D$18,Segments!$D$18*R4))))</f>
        <v>0</v>
      </c>
      <c r="W4" s="31">
        <f>IF(Segments!$C$4="Not In Use", 0, IF(Q4=0,0,V4*S4/Q4))</f>
        <v>0</v>
      </c>
      <c r="X4" s="19">
        <f>IF(W4=0, 0,IF(Segments!$D$15="Chlorine", (W4*EXP(0.071*U4)-0.42)/2.94, IF(Segments!$D$15="Chlorine Dioxide", (W4*EXP(0.072*U4)+35.15)/21.25, IF(Segments!$D$15="Ozone", (W4*EXP(0.068*U4)-0.01)/0.47, IF(Segments!$D$15="Chloramines", (W4*EXP(0.071*U4)+410.7)/849.5, 0)))))</f>
        <v>0</v>
      </c>
      <c r="Y4" s="18">
        <f>IF(W4=0, 0,IF(Segments!$D$15="Chlorine", W4/(0.2828*T4^2.69*S4^0.15*0.933^(U4-5)), IF(Segments!$D$15="Chlorine Dioxide", ((W4*U4^0.49)+0.18)/23.85, IF(Segments!$D$15="Ozone", (W4*exp^(0.072*U4)-0.01)/0.98, IF(Segments!$D$15="Chloramines", (W4/(858.5-(24.3*U4))), 0)))))</f>
        <v>0</v>
      </c>
      <c r="Z4" s="25">
        <f t="shared" ref="Z4:Z11" si="2">X4/4</f>
        <v>0</v>
      </c>
      <c r="AA4" s="19">
        <f t="shared" ref="AA4:AA11" si="3">Y4/3</f>
        <v>0</v>
      </c>
      <c r="AC4" s="80"/>
      <c r="AD4" s="3" t="str">
        <f>Segments!$C$15</f>
        <v>Flocculation</v>
      </c>
      <c r="AE4" s="33">
        <v>1400</v>
      </c>
      <c r="AF4" s="33"/>
      <c r="AG4" s="33">
        <v>1.4</v>
      </c>
      <c r="AH4" s="33">
        <v>7.5</v>
      </c>
      <c r="AI4" s="35">
        <v>15</v>
      </c>
      <c r="AJ4" s="28">
        <f>IF(Segments!$C$15="Not In Use",0, (IF(Segments!$F$15="Rectangular",Segments!$D$18*AF4-Segments!$D$19, IF(Segments!$C$15="Pipe",Segments!$D$18,Segments!$D$18*AF4))))</f>
        <v>0</v>
      </c>
      <c r="AK4" s="31">
        <f>IF(Segments!$C$4="Not In Use", 0, IF(AE4=0,0,AJ4*AG4/AE4))</f>
        <v>0</v>
      </c>
      <c r="AL4" s="19">
        <f>IF(AK4=0, 0,IF(Segments!$D$15="Chlorine", (AK4*EXP(0.071*AI4)-0.42)/2.94, IF(Segments!$D$15="Chlorine Dioxide", (AK4*EXP(0.072*AI4)+35.15)/21.25, IF(Segments!$D$15="Ozone", (AK4*EXP(0.068*AI4)-0.01)/0.47, IF(Segments!$D$15="Chloramines", (AK4*EXP(0.071*AI4)+410.7)/849.5, 0)))))</f>
        <v>0</v>
      </c>
      <c r="AM4" s="18">
        <f>IF(AK4=0, 0,IF(Segments!$D$15="Chlorine", AK4/(0.2828*AH4^2.69*AG4^0.15*0.933^(AI4-5)), IF(Segments!$D$15="Chlorine Dioxide", ((AK4*AI4^0.49)+0.18)/23.85, IF(Segments!$D$15="Ozone", (AK4*exp^(0.072*AI4)-0.01)/0.98, IF(Segments!$D$15="Chloramines", (AK4/(858.5-(24.3*AI4))), 0)))))</f>
        <v>0</v>
      </c>
      <c r="AN4" s="25">
        <f t="shared" ref="AN4:AN11" si="4">AL4/4</f>
        <v>0</v>
      </c>
      <c r="AO4" s="19">
        <f t="shared" ref="AO4:AO11" si="5">AM4/3</f>
        <v>0</v>
      </c>
      <c r="AQ4" s="80"/>
      <c r="AR4" s="3" t="str">
        <f>Segments!$C$15</f>
        <v>Flocculation</v>
      </c>
      <c r="AS4" s="33">
        <v>1400</v>
      </c>
      <c r="AT4" s="33"/>
      <c r="AU4" s="33">
        <v>1.4</v>
      </c>
      <c r="AV4" s="33">
        <v>7.5</v>
      </c>
      <c r="AW4" s="35">
        <v>15</v>
      </c>
      <c r="AX4" s="28">
        <f>IF(Segments!$C$15="Not In Use",0, (IF(Segments!$F$15="Rectangular",Segments!$D$18*AT4-Segments!$D$19, IF(Segments!$C$15="Pipe",Segments!$D$18,Segments!$D$18*AT4))))</f>
        <v>0</v>
      </c>
      <c r="AY4" s="31">
        <f>IF(Segments!$C$4="Not In Use", 0, IF(AS4=0,0,AX4*AU4/AS4))</f>
        <v>0</v>
      </c>
      <c r="AZ4" s="19">
        <f>IF(AY4=0, 0,IF(Segments!$D$15="Chlorine", (AY4*EXP(0.071*AW4)-0.42)/2.94, IF(Segments!$D$15="Chlorine Dioxide", (AY4*EXP(0.072*AW4)+35.15)/21.25, IF(Segments!$D$15="Ozone", (AY4*EXP(0.068*AW4)-0.01)/0.47, IF(Segments!$D$15="Chloramines", (AY4*EXP(0.071*AW4)+410.7)/849.5, 0)))))</f>
        <v>0</v>
      </c>
      <c r="BA4" s="18">
        <f>IF(AY4=0, 0,IF(Segments!$D$15="Chlorine", AY4/(0.2828*AV4^2.69*AU4^0.15*0.933^(AW4-5)), IF(Segments!$D$15="Chlorine Dioxide", ((AY4*AW4^0.49)+0.18)/23.85, IF(Segments!$D$15="Ozone", (AY4*exp^(0.072*AW4)-0.01)/0.98, IF(Segments!$D$15="Chloramines", (AY4/(858.5-(24.3*AW4))), 0)))))</f>
        <v>0</v>
      </c>
      <c r="BB4" s="25">
        <f t="shared" ref="BB4:BB11" si="6">AZ4/4</f>
        <v>0</v>
      </c>
      <c r="BC4" s="19">
        <f t="shared" ref="BC4:BC11" si="7">BA4/3</f>
        <v>0</v>
      </c>
    </row>
    <row r="5" spans="1:55" ht="13.5" thickBot="1" x14ac:dyDescent="0.25">
      <c r="A5" s="80"/>
      <c r="B5" s="3" t="str">
        <f>Segments!$C$26</f>
        <v>Sedimentation</v>
      </c>
      <c r="C5" s="33">
        <v>1400</v>
      </c>
      <c r="D5" s="33">
        <v>12</v>
      </c>
      <c r="E5" s="33">
        <v>0</v>
      </c>
      <c r="F5" s="33">
        <v>6.9</v>
      </c>
      <c r="G5" s="35">
        <v>19</v>
      </c>
      <c r="H5" s="28">
        <f>IF(Segments!$C$26="Not In Use",0, (IF(Segments!$F$26="Rectangular",Segments!$D$29*D5-Segments!$D$30, IF(Segments!$C$26="Pipe",Segments!$D$29,Segments!$D$29*D5))))</f>
        <v>0</v>
      </c>
      <c r="I5" s="31">
        <f>IF(Segments!$C$4="Not In Use", 0, IF(C5=0,0,H5*E5/C5))</f>
        <v>0</v>
      </c>
      <c r="J5" s="19">
        <f>IF(I5=0, 0,IF(Segments!$D$26="Chlorine", (I5*EXP(0.071*G5)-0.42)/2.94, IF(Segments!$D$26="Chlorine Dioxide", (I5*EXP(0.072*G5)+35.15)/21.25, IF(Segments!$D$26="Ozone", (I5*EXP(0.068*G5)-0.01)/0.47, IF(Segments!$D$26="Chloramines", (I5*EXP(0.071*G5)+410.7)/849.5, 0)))))</f>
        <v>0</v>
      </c>
      <c r="K5" s="18">
        <f>IF(I5=0, 0,IF(Segments!$D$26="Chlorine", I5/(0.2828*F5^2.69*E5^0.15*0.933^(G5-5)), IF(Segments!$D$26="Chlorine Dioxide", ((I5*G5^0.49)+0.18)/23.85, IF(Segments!$D$26="Ozone",((I5*EXP(0.072*G5)-0.01)/0.98),IF(Segments!$D$26="Chloramines", (I5/(858.5-(24.3*G5))), 0)))))</f>
        <v>0</v>
      </c>
      <c r="L5" s="25">
        <f t="shared" si="0"/>
        <v>0</v>
      </c>
      <c r="M5" s="19">
        <f t="shared" si="1"/>
        <v>0</v>
      </c>
      <c r="N5" s="15"/>
      <c r="O5" s="80"/>
      <c r="P5" s="3" t="str">
        <f>Segments!$C$26</f>
        <v>Sedimentation</v>
      </c>
      <c r="Q5" s="33">
        <v>1400</v>
      </c>
      <c r="R5" s="33">
        <v>12</v>
      </c>
      <c r="S5" s="33">
        <v>0</v>
      </c>
      <c r="T5" s="33">
        <v>6.9</v>
      </c>
      <c r="U5" s="35">
        <v>19</v>
      </c>
      <c r="V5" s="28">
        <f>IF(Segments!$C$26="Not In Use",0, (IF(Segments!$F$26="Rectangular",Segments!$D$29*R5-Segments!$D$30, IF(Segments!$C$26="Pipe",Segments!$D$29,Segments!$D$29*R5))))</f>
        <v>0</v>
      </c>
      <c r="W5" s="31">
        <f>IF(Segments!$C$4="Not In Use", 0, IF(Q5=0,0,V5*S5/Q5))</f>
        <v>0</v>
      </c>
      <c r="X5" s="19">
        <f>IF(W5=0, 0,IF(Segments!$D$26="Chlorine", (W5*EXP(0.071*U5)-0.42)/2.94, IF(Segments!$D$26="Chlorine Dioxide", (W5*EXP(0.072*U5)+35.15)/21.25, IF(Segments!$D$26="Ozone", (W5*EXP(0.068*U5)-0.01)/0.47, IF(Segments!$D$26="Chloramines", (W5*EXP(0.071*U5)+410.7)/849.5, 0)))))</f>
        <v>0</v>
      </c>
      <c r="Y5" s="18">
        <f>IF(W5=0, 0,IF(Segments!$D$26="Chlorine", W5/(0.2828*T5^2.69*S5^0.15*0.933^(U5-5)), IF(Segments!$D$26="Chlorine Dioxide", ((W5*U5^0.49)+0.18)/23.85, IF(Segments!$D$26="Ozone",((W5*EXP(0.072*U5)-0.01)/0.98),IF(Segments!$D$26="Chloramines", (W5/(858.5-(24.3*U5))), 0)))))</f>
        <v>0</v>
      </c>
      <c r="Z5" s="25">
        <f t="shared" si="2"/>
        <v>0</v>
      </c>
      <c r="AA5" s="19">
        <f t="shared" si="3"/>
        <v>0</v>
      </c>
      <c r="AC5" s="80"/>
      <c r="AD5" s="3" t="str">
        <f>Segments!$C$26</f>
        <v>Sedimentation</v>
      </c>
      <c r="AE5" s="33"/>
      <c r="AF5" s="33"/>
      <c r="AG5" s="33"/>
      <c r="AH5" s="33"/>
      <c r="AI5" s="35"/>
      <c r="AJ5" s="28">
        <f>IF(Segments!$C$26="Not In Use",0, (IF(Segments!$F$26="Rectangular",Segments!$D$29*AF5-Segments!$D$30, IF(Segments!$C$26="Pipe",Segments!$D$29,Segments!$D$29*AF5))))</f>
        <v>0</v>
      </c>
      <c r="AK5" s="31">
        <f>IF(Segments!$C$4="Not In Use", 0, IF(AE5=0,0,AJ5*AG5/AE5))</f>
        <v>0</v>
      </c>
      <c r="AL5" s="19">
        <f>IF(AK5=0, 0,IF(Segments!$D$26="Chlorine", (AK5*EXP(0.071*AI5)-0.42)/2.94, IF(Segments!$D$26="Chlorine Dioxide", (AK5*EXP(0.072*AI5)+35.15)/21.25, IF(Segments!$D$26="Ozone", (AK5*EXP(0.068*AI5)-0.01)/0.47, IF(Segments!$D$26="Chloramines", (AK5*EXP(0.071*AI5)+410.7)/849.5, 0)))))</f>
        <v>0</v>
      </c>
      <c r="AM5" s="18">
        <f>IF(AK5=0, 0,IF(Segments!$D$26="Chlorine", AK5/(0.2828*AH5^2.69*AG5^0.15*0.933^(AI5-5)), IF(Segments!$D$26="Chlorine Dioxide", ((AK5*AI5^0.49)+0.18)/23.85, IF(Segments!$D$26="Ozone",((AK5*EXP(0.072*AI5)-0.01)/0.98),IF(Segments!$D$26="Chloramines", (AK5/(858.5-(24.3*AI5))), 0)))))</f>
        <v>0</v>
      </c>
      <c r="AN5" s="25">
        <f t="shared" si="4"/>
        <v>0</v>
      </c>
      <c r="AO5" s="19">
        <f t="shared" si="5"/>
        <v>0</v>
      </c>
      <c r="AQ5" s="80"/>
      <c r="AR5" s="3" t="str">
        <f>Segments!$C$26</f>
        <v>Sedimentation</v>
      </c>
      <c r="AS5" s="33"/>
      <c r="AT5" s="33"/>
      <c r="AU5" s="33"/>
      <c r="AV5" s="33"/>
      <c r="AW5" s="35"/>
      <c r="AX5" s="28">
        <f>IF(Segments!$C$26="Not In Use",0, (IF(Segments!$F$26="Rectangular",Segments!$D$29*AT5-Segments!$D$30, IF(Segments!$C$26="Pipe",Segments!$D$29,Segments!$D$29*AT5))))</f>
        <v>0</v>
      </c>
      <c r="AY5" s="31">
        <f>IF(Segments!$C$4="Not In Use", 0, IF(AS5=0,0,AX5*AU5/AS5))</f>
        <v>0</v>
      </c>
      <c r="AZ5" s="19">
        <f>IF(AY5=0, 0,IF(Segments!$D$26="Chlorine", (AY5*EXP(0.071*AW5)-0.42)/2.94, IF(Segments!$D$26="Chlorine Dioxide", (AY5*EXP(0.072*AW5)+35.15)/21.25, IF(Segments!$D$26="Ozone", (AY5*EXP(0.068*AW5)-0.01)/0.47, IF(Segments!$D$26="Chloramines", (AY5*EXP(0.071*AW5)+410.7)/849.5, 0)))))</f>
        <v>0</v>
      </c>
      <c r="BA5" s="18">
        <f>IF(AY5=0, 0,IF(Segments!$D$26="Chlorine", AY5/(0.2828*AV5^2.69*AU5^0.15*0.933^(AW5-5)), IF(Segments!$D$26="Chlorine Dioxide", ((AY5*AW5^0.49)+0.18)/23.85, IF(Segments!$D$26="Ozone",((AY5*EXP(0.072*AW5)-0.01)/0.98),IF(Segments!$D$26="Chloramines", (AY5/(858.5-(24.3*AW5))), 0)))))</f>
        <v>0</v>
      </c>
      <c r="BB5" s="25">
        <f t="shared" si="6"/>
        <v>0</v>
      </c>
      <c r="BC5" s="19">
        <f t="shared" si="7"/>
        <v>0</v>
      </c>
    </row>
    <row r="6" spans="1:55" ht="13.5" thickBot="1" x14ac:dyDescent="0.25">
      <c r="A6" s="80"/>
      <c r="B6" s="3" t="str">
        <f>Segments!$C$39</f>
        <v>Filtration</v>
      </c>
      <c r="C6" s="33">
        <v>1400</v>
      </c>
      <c r="D6" s="33">
        <v>5</v>
      </c>
      <c r="E6" s="33">
        <v>0.5</v>
      </c>
      <c r="F6" s="33">
        <v>6.9</v>
      </c>
      <c r="G6" s="35">
        <v>19</v>
      </c>
      <c r="H6" s="28">
        <f>IF(Segments!$C$39="Not In Use",0, (IF(Segments!$F$39="Rectangular",Segments!$D$42*D6-Segments!$D$43, IF(Segments!$C$39="Pipe",Segments!$D$42,Segments!$D$42*D6))))</f>
        <v>13669.7</v>
      </c>
      <c r="I6" s="31">
        <f>IF(Segments!$C$4="Not In Use", 0, IF(C6=0,0,H6*E6/C6))</f>
        <v>4.8820357142857143</v>
      </c>
      <c r="J6" s="19">
        <f>IF(I6=0, 0,IF(Segments!$D$39="Chlorine", (I6*EXP(0.071*G6)-0.42)/2.94, IF(Segments!$D$39="Chlorine Dioxide", (I6*EXP(0.072*G6)+35.15)/21.25, IF(Segments!$D$39="Ozone", (I6*EXP(0.068*G6)-0.01)/0.47, IF(Segments!$D$39="Chloramines", (I6*EXP(0.071*G6)+410.7)/849.5, 0)))))</f>
        <v>6.2562131053608159</v>
      </c>
      <c r="K6" s="18">
        <f>IF(I6=0, 0,IF(Segments!$D$39="Chlorine", I6/(0.2828*F6^2.69*E6^0.15*0.933^(G6-5)), IF(Segments!$D$39="Chlorine Dioxide", ((I6*G6^0.49)+0.18)/23.85, IF(Segments!$D$39="Ozone", (I6*EXP(0.072*G6)-0.01)/0.98, IF(Segments!$D$39="Chloramines", (I6/(858.5-(24.3*G6))), 0)))))</f>
        <v>0.28017474145721827</v>
      </c>
      <c r="L6" s="25">
        <f t="shared" si="0"/>
        <v>1.564053276340204</v>
      </c>
      <c r="M6" s="19">
        <f t="shared" si="1"/>
        <v>9.3391580485739423E-2</v>
      </c>
      <c r="N6" s="15"/>
      <c r="O6" s="80"/>
      <c r="P6" s="3" t="str">
        <f>Segments!$C$39</f>
        <v>Filtration</v>
      </c>
      <c r="Q6" s="33">
        <v>1400</v>
      </c>
      <c r="R6" s="33">
        <v>5</v>
      </c>
      <c r="S6" s="33">
        <v>0.5</v>
      </c>
      <c r="T6" s="33">
        <v>6.9</v>
      </c>
      <c r="U6" s="35">
        <v>19</v>
      </c>
      <c r="V6" s="28">
        <f>IF(Segments!$C$39="Not In Use",0, (IF(Segments!$F$39="Rectangular",Segments!$D$42*R6-Segments!$D$43, IF(Segments!$C$39="Pipe",Segments!$D$42,Segments!$D$42*R6))))</f>
        <v>13669.7</v>
      </c>
      <c r="W6" s="31">
        <f>IF(Segments!$C$4="Not In Use", 0, IF(Q6=0,0,V6*S6/Q6))</f>
        <v>4.8820357142857143</v>
      </c>
      <c r="X6" s="19">
        <f>IF(W6=0, 0,IF(Segments!$D$39="Chlorine", (W6*EXP(0.071*U6)-0.42)/2.94, IF(Segments!$D$39="Chlorine Dioxide", (W6*EXP(0.072*U6)+35.15)/21.25, IF(Segments!$D$39="Ozone", (W6*EXP(0.068*U6)-0.01)/0.47, IF(Segments!$D$39="Chloramines", (W6*EXP(0.071*U6)+410.7)/849.5, 0)))))</f>
        <v>6.2562131053608159</v>
      </c>
      <c r="Y6" s="18">
        <f>IF(W6=0, 0,IF(Segments!$D$39="Chlorine", W6/(0.2828*T6^2.69*S6^0.15*0.933^(U6-5)), IF(Segments!$D$39="Chlorine Dioxide", ((W6*U6^0.49)+0.18)/23.85, IF(Segments!$D$39="Ozone", (W6*EXP(0.072*U6)-0.01)/0.98, IF(Segments!$D$39="Chloramines", (W6/(858.5-(24.3*U6))), 0)))))</f>
        <v>0.28017474145721827</v>
      </c>
      <c r="Z6" s="25">
        <f t="shared" si="2"/>
        <v>1.564053276340204</v>
      </c>
      <c r="AA6" s="19">
        <f t="shared" si="3"/>
        <v>9.3391580485739423E-2</v>
      </c>
      <c r="AC6" s="80"/>
      <c r="AD6" s="3" t="str">
        <f>Segments!$C$39</f>
        <v>Filtration</v>
      </c>
      <c r="AE6" s="33"/>
      <c r="AF6" s="33"/>
      <c r="AG6" s="33"/>
      <c r="AH6" s="33"/>
      <c r="AI6" s="35"/>
      <c r="AJ6" s="28">
        <f>IF(Segments!$C$39="Not In Use",0, (IF(Segments!$F$39="Rectangular",Segments!$D$42*AF6-Segments!$D$43, IF(Segments!$C$39="Pipe",Segments!$D$42,Segments!$D$42*AF6))))</f>
        <v>0</v>
      </c>
      <c r="AK6" s="31">
        <f>IF(Segments!$C$4="Not In Use", 0, IF(AE6=0,0,AJ6*AG6/AE6))</f>
        <v>0</v>
      </c>
      <c r="AL6" s="19">
        <f>IF(AK6=0, 0,IF(Segments!$D$39="Chlorine", (AK6*EXP(0.071*AI6)-0.42)/2.94, IF(Segments!$D$39="Chlorine Dioxide", (AK6*EXP(0.072*AI6)+35.15)/21.25, IF(Segments!$D$39="Ozone", (AK6*EXP(0.068*AI6)-0.01)/0.47, IF(Segments!$D$39="Chloramines", (AK6*EXP(0.071*AI6)+410.7)/849.5, 0)))))</f>
        <v>0</v>
      </c>
      <c r="AM6" s="18">
        <f>IF(AK6=0, 0,IF(Segments!$D$39="Chlorine", AK6/(0.2828*AH6^2.69*AG6^0.15*0.933^(AI6-5)), IF(Segments!$D$39="Chlorine Dioxide", ((AK6*AI6^0.49)+0.18)/23.85, IF(Segments!$D$39="Ozone", (AK6*EXP(0.072*AI6)-0.01)/0.98, IF(Segments!$D$39="Chloramines", (AK6/(858.5-(24.3*AI6))), 0)))))</f>
        <v>0</v>
      </c>
      <c r="AN6" s="25">
        <f t="shared" si="4"/>
        <v>0</v>
      </c>
      <c r="AO6" s="19">
        <f t="shared" si="5"/>
        <v>0</v>
      </c>
      <c r="AQ6" s="80"/>
      <c r="AR6" s="3" t="str">
        <f>Segments!$C$39</f>
        <v>Filtration</v>
      </c>
      <c r="AS6" s="33"/>
      <c r="AT6" s="33"/>
      <c r="AU6" s="33"/>
      <c r="AV6" s="33"/>
      <c r="AW6" s="35"/>
      <c r="AX6" s="28">
        <f>IF(Segments!$C$39="Not In Use",0, (IF(Segments!$F$39="Rectangular",Segments!$D$42*AT6-Segments!$D$43, IF(Segments!$C$39="Pipe",Segments!$D$42,Segments!$D$42*AT6))))</f>
        <v>0</v>
      </c>
      <c r="AY6" s="31">
        <f>IF(Segments!$C$4="Not In Use", 0, IF(AS6=0,0,AX6*AU6/AS6))</f>
        <v>0</v>
      </c>
      <c r="AZ6" s="19">
        <f>IF(AY6=0, 0,IF(Segments!$D$39="Chlorine", (AY6*EXP(0.071*AW6)-0.42)/2.94, IF(Segments!$D$39="Chlorine Dioxide", (AY6*EXP(0.072*AW6)+35.15)/21.25, IF(Segments!$D$39="Ozone", (AY6*EXP(0.068*AW6)-0.01)/0.47, IF(Segments!$D$39="Chloramines", (AY6*EXP(0.071*AW6)+410.7)/849.5, 0)))))</f>
        <v>0</v>
      </c>
      <c r="BA6" s="18">
        <f>IF(AY6=0, 0,IF(Segments!$D$39="Chlorine", AY6/(0.2828*AV6^2.69*AU6^0.15*0.933^(AW6-5)), IF(Segments!$D$39="Chlorine Dioxide", ((AY6*AW6^0.49)+0.18)/23.85, IF(Segments!$D$39="Ozone", (AY6*EXP(0.072*AW6)-0.01)/0.98, IF(Segments!$D$39="Chloramines", (AY6/(858.5-(24.3*AW6))), 0)))))</f>
        <v>0</v>
      </c>
      <c r="BB6" s="25">
        <f t="shared" si="6"/>
        <v>0</v>
      </c>
      <c r="BC6" s="19">
        <f t="shared" si="7"/>
        <v>0</v>
      </c>
    </row>
    <row r="7" spans="1:55" ht="13.5" thickBot="1" x14ac:dyDescent="0.25">
      <c r="A7" s="80"/>
      <c r="B7" s="3" t="str">
        <f>Segments!$C$50</f>
        <v>Clearwell</v>
      </c>
      <c r="C7" s="33">
        <v>1400</v>
      </c>
      <c r="D7" s="33">
        <v>10</v>
      </c>
      <c r="E7" s="33">
        <v>1.5</v>
      </c>
      <c r="F7" s="33">
        <v>7</v>
      </c>
      <c r="G7" s="35">
        <v>19</v>
      </c>
      <c r="H7" s="28">
        <f>IF(Segments!$C$50="Not In Use",0, (IF(Segments!$F$50="Rectangular",Segments!$D$53*D7-Segments!$D$54, IF(Segments!$C$50="Pipe",Segments!$D$53,Segments!$D$53*D7))))</f>
        <v>99184.800000000017</v>
      </c>
      <c r="I7" s="31">
        <f>IF(Segments!$C$4="Not In Use", 0, IF(C7=0,0,H7*E7/C7))</f>
        <v>106.26942857142858</v>
      </c>
      <c r="J7" s="19">
        <f>IF(I7=0, 0,IF(Segments!$D$50="Chlorine", (I7*EXP(0.071*G7)-0.42)/2.94, IF(Segments!$D$50="Chlorine Dioxide", (I7*EXP(0.072*G7)+35.15)/21.25, IF(Segments!$D$50="Ozone", (I7*EXP(0.068*G7)-0.01)/0.47, IF(Segments!$D$50="Chloramines", (I7*EXP(0.071*G7)+410.7)/849.5, 0)))))</f>
        <v>139.14853244625934</v>
      </c>
      <c r="K7" s="18">
        <f>IF(I7=0, 0,IF(Segments!$D$50="Chlorine", I7/(0.2828*F7^2.69*E7^0.15*0.933^(G7-5)), IF(Segments!$D$50="Chlorine Dioxide", ((I7*G7^0.49)+0.18)/23.85, IF(Segments!$D$50="Ozone", (I7*EXP(0.072*G7)-0.01)/0.98, IF(Segments!$D$50="Chloramines", (I7/(858.5-(24.3*G7))), 0)))))</f>
        <v>4.9757495366863838</v>
      </c>
      <c r="L7" s="25">
        <f t="shared" si="0"/>
        <v>34.787133111564835</v>
      </c>
      <c r="M7" s="19">
        <f t="shared" si="1"/>
        <v>1.6585831788954613</v>
      </c>
      <c r="N7" s="15"/>
      <c r="O7" s="80"/>
      <c r="P7" s="3" t="str">
        <f>Segments!$C$50</f>
        <v>Clearwell</v>
      </c>
      <c r="Q7" s="33">
        <v>1400</v>
      </c>
      <c r="R7" s="33">
        <v>10</v>
      </c>
      <c r="S7" s="33">
        <v>1.5</v>
      </c>
      <c r="T7" s="33">
        <v>7</v>
      </c>
      <c r="U7" s="35">
        <v>19</v>
      </c>
      <c r="V7" s="28">
        <f>IF(Segments!$C$50="Not In Use",0, (IF(Segments!$F$50="Rectangular",Segments!$D$53*R7-Segments!$D$54, IF(Segments!$C$50="Pipe",Segments!$D$53,Segments!$D$53*R7))))</f>
        <v>99184.800000000017</v>
      </c>
      <c r="W7" s="31">
        <f>IF(Segments!$C$4="Not In Use", 0, IF(Q7=0,0,V7*S7/Q7))</f>
        <v>106.26942857142858</v>
      </c>
      <c r="X7" s="19">
        <f>IF(W7=0, 0,IF(Segments!$D$50="Chlorine", (W7*EXP(0.071*U7)-0.42)/2.94, IF(Segments!$D$50="Chlorine Dioxide", (W7*EXP(0.072*U7)+35.15)/21.25, IF(Segments!$D$50="Ozone", (W7*EXP(0.068*U7)-0.01)/0.47, IF(Segments!$D$50="Chloramines", (W7*EXP(0.071*U7)+410.7)/849.5, 0)))))</f>
        <v>139.14853244625934</v>
      </c>
      <c r="Y7" s="18">
        <f>IF(W7=0, 0,IF(Segments!$D$50="Chlorine", W7/(0.2828*T7^2.69*S7^0.15*0.933^(U7-5)), IF(Segments!$D$50="Chlorine Dioxide", ((W7*U7^0.49)+0.18)/23.85, IF(Segments!$D$50="Ozone", (W7*EXP(0.072*U7)-0.01)/0.98, IF(Segments!$D$50="Chloramines", (W7/(858.5-(24.3*U7))), 0)))))</f>
        <v>4.9757495366863838</v>
      </c>
      <c r="Z7" s="25">
        <f t="shared" si="2"/>
        <v>34.787133111564835</v>
      </c>
      <c r="AA7" s="19">
        <f t="shared" si="3"/>
        <v>1.6585831788954613</v>
      </c>
      <c r="AC7" s="80"/>
      <c r="AD7" s="3" t="str">
        <f>Segments!$C$50</f>
        <v>Clearwell</v>
      </c>
      <c r="AE7" s="33"/>
      <c r="AF7" s="33"/>
      <c r="AG7" s="33"/>
      <c r="AH7" s="33"/>
      <c r="AI7" s="35"/>
      <c r="AJ7" s="28">
        <f>IF(Segments!$C$50="Not In Use",0, (IF(Segments!$F$50="Rectangular",Segments!$D$53*AF7-Segments!$D$54, IF(Segments!$C$50="Pipe",Segments!$D$53,Segments!$D$53*AF7))))</f>
        <v>0</v>
      </c>
      <c r="AK7" s="31">
        <f>IF(Segments!$C$4="Not In Use", 0, IF(AE7=0,0,AJ7*AG7/AE7))</f>
        <v>0</v>
      </c>
      <c r="AL7" s="19">
        <f>IF(AK7=0, 0,IF(Segments!$D$50="Chlorine", (AK7*EXP(0.071*AI7)-0.42)/2.94, IF(Segments!$D$50="Chlorine Dioxide", (AK7*EXP(0.072*AI7)+35.15)/21.25, IF(Segments!$D$50="Ozone", (AK7*EXP(0.068*AI7)-0.01)/0.47, IF(Segments!$D$50="Chloramines", (AK7*EXP(0.071*AI7)+410.7)/849.5, 0)))))</f>
        <v>0</v>
      </c>
      <c r="AM7" s="18">
        <f>IF(AK7=0, 0,IF(Segments!$D$50="Chlorine", AK7/(0.2828*AH7^2.69*AG7^0.15*0.933^(AI7-5)), IF(Segments!$D$50="Chlorine Dioxide", ((AK7*AI7^0.49)+0.18)/23.85, IF(Segments!$D$50="Ozone", (AK7*EXP(0.072*AI7)-0.01)/0.98, IF(Segments!$D$50="Chloramines", (AK7/(858.5-(24.3*AI7))), 0)))))</f>
        <v>0</v>
      </c>
      <c r="AN7" s="25">
        <f t="shared" si="4"/>
        <v>0</v>
      </c>
      <c r="AO7" s="19">
        <f t="shared" si="5"/>
        <v>0</v>
      </c>
      <c r="AQ7" s="80"/>
      <c r="AR7" s="3" t="str">
        <f>Segments!$C$50</f>
        <v>Clearwell</v>
      </c>
      <c r="AS7" s="33"/>
      <c r="AT7" s="33"/>
      <c r="AU7" s="33"/>
      <c r="AV7" s="33"/>
      <c r="AW7" s="35"/>
      <c r="AX7" s="28">
        <f>IF(Segments!$C$50="Not In Use",0, (IF(Segments!$F$50="Rectangular",Segments!$D$53*AT7-Segments!$D$54, IF(Segments!$C$50="Pipe",Segments!$D$53,Segments!$D$53*AT7))))</f>
        <v>0</v>
      </c>
      <c r="AY7" s="31">
        <f>IF(Segments!$C$4="Not In Use", 0, IF(AS7=0,0,AX7*AU7/AS7))</f>
        <v>0</v>
      </c>
      <c r="AZ7" s="19">
        <f>IF(AY7=0, 0,IF(Segments!$D$50="Chlorine", (AY7*EXP(0.071*AW7)-0.42)/2.94, IF(Segments!$D$50="Chlorine Dioxide", (AY7*EXP(0.072*AW7)+35.15)/21.25, IF(Segments!$D$50="Ozone", (AY7*EXP(0.068*AW7)-0.01)/0.47, IF(Segments!$D$50="Chloramines", (AY7*EXP(0.071*AW7)+410.7)/849.5, 0)))))</f>
        <v>0</v>
      </c>
      <c r="BA7" s="18">
        <f>IF(AY7=0, 0,IF(Segments!$D$50="Chlorine", AY7/(0.2828*AV7^2.69*AU7^0.15*0.933^(AW7-5)), IF(Segments!$D$50="Chlorine Dioxide", ((AY7*AW7^0.49)+0.18)/23.85, IF(Segments!$D$50="Ozone", (AY7*EXP(0.072*AW7)-0.01)/0.98, IF(Segments!$D$50="Chloramines", (AY7/(858.5-(24.3*AW7))), 0)))))</f>
        <v>0</v>
      </c>
      <c r="BB7" s="25">
        <f t="shared" si="6"/>
        <v>0</v>
      </c>
      <c r="BC7" s="19">
        <f t="shared" si="7"/>
        <v>0</v>
      </c>
    </row>
    <row r="8" spans="1:55" ht="13.5" thickBot="1" x14ac:dyDescent="0.25">
      <c r="A8" s="80"/>
      <c r="B8" s="3" t="str">
        <f>Segments!$C$61</f>
        <v>Not In Use</v>
      </c>
      <c r="C8" s="33"/>
      <c r="D8" s="33"/>
      <c r="E8" s="33"/>
      <c r="F8" s="33"/>
      <c r="G8" s="35"/>
      <c r="H8" s="28">
        <f>IF(Segments!$C$61="Not In Use",0, (IF(Segments!$F$61="Rectangular",Segments!$D$64*D8-Segments!$D$65, IF(Segments!$C$61="Pipe",Segments!$D$64,Segments!$D$64*D8))))</f>
        <v>0</v>
      </c>
      <c r="I8" s="31">
        <f>IF(Segments!$C$4="Not In Use", 0, IF(C8=0,0,H8*E8/C8))</f>
        <v>0</v>
      </c>
      <c r="J8" s="19">
        <f>IF(I8=0, 0,IF(Segments!$D$61="Chlorine", (I8*EXP(0.071*G8)-0.42)/2.94, IF(Segments!$D$61="Chlorine Dioxide", (I8*EXP(0.072*G8)+35.15)/21.25, IF(Segments!$D$61="Ozone", (I8*EXP(0.068*G8)-0.01)/0.47, IF(Segments!$D$61="Chloramines", (I8*EXP(0.071*G8)+410.7)/849.5, 0)))))</f>
        <v>0</v>
      </c>
      <c r="K8" s="18">
        <f>IF(I8=0, 0,IF(Segments!$D$61="Chlorine", I8/(0.2828*F8^2.69*E8^0.15*0.933^(G8-5)), IF(Segments!$D$61="Chlorine Dioxide", ((I8*G8^0.49)+0.18)/23.85, IF(Segments!$D$61="Ozone", (I8*EXP(0.072*G8)-0.01)/0.98, IF(Segments!$D$61="Chloramines", (I8/(858.5-(24.3*G8))), 0)))))</f>
        <v>0</v>
      </c>
      <c r="L8" s="25">
        <f t="shared" si="0"/>
        <v>0</v>
      </c>
      <c r="M8" s="19">
        <f t="shared" si="1"/>
        <v>0</v>
      </c>
      <c r="N8" s="15"/>
      <c r="O8" s="80"/>
      <c r="P8" s="3" t="str">
        <f>Segments!$C$61</f>
        <v>Not In Use</v>
      </c>
      <c r="Q8" s="33"/>
      <c r="R8" s="33"/>
      <c r="S8" s="33"/>
      <c r="T8" s="33"/>
      <c r="U8" s="35"/>
      <c r="V8" s="28">
        <f>IF(Segments!$C$61="Not In Use",0, (IF(Segments!$F$61="Rectangular",Segments!$D$64*R8-Segments!$D$65, IF(Segments!$C$61="Pipe",Segments!$D$64,Segments!$D$64*R8))))</f>
        <v>0</v>
      </c>
      <c r="W8" s="31">
        <f>IF(Segments!$C$4="Not In Use", 0, IF(Q8=0,0,V8*S8/Q8))</f>
        <v>0</v>
      </c>
      <c r="X8" s="19">
        <f>IF(W8=0, 0,IF(Segments!$D$61="Chlorine", (W8*EXP(0.071*U8)-0.42)/2.94, IF(Segments!$D$61="Chlorine Dioxide", (W8*EXP(0.072*U8)+35.15)/21.25, IF(Segments!$D$61="Ozone", (W8*EXP(0.068*U8)-0.01)/0.47, IF(Segments!$D$61="Chloramines", (W8*EXP(0.071*U8)+410.7)/849.5, 0)))))</f>
        <v>0</v>
      </c>
      <c r="Y8" s="18">
        <f>IF(W8=0, 0,IF(Segments!$D$61="Chlorine", W8/(0.2828*T8^2.69*S8^0.15*0.933^(U8-5)), IF(Segments!$D$61="Chlorine Dioxide", ((W8*U8^0.49)+0.18)/23.85, IF(Segments!$D$61="Ozone", (W8*EXP(0.072*U8)-0.01)/0.98, IF(Segments!$D$61="Chloramines", (W8/(858.5-(24.3*U8))), 0)))))</f>
        <v>0</v>
      </c>
      <c r="Z8" s="25">
        <f t="shared" si="2"/>
        <v>0</v>
      </c>
      <c r="AA8" s="19">
        <f t="shared" si="3"/>
        <v>0</v>
      </c>
      <c r="AC8" s="80"/>
      <c r="AD8" s="3" t="str">
        <f>Segments!$C$61</f>
        <v>Not In Use</v>
      </c>
      <c r="AE8" s="33"/>
      <c r="AF8" s="33"/>
      <c r="AG8" s="33"/>
      <c r="AH8" s="33"/>
      <c r="AI8" s="35"/>
      <c r="AJ8" s="28">
        <f>IF(Segments!$C$61="Not In Use",0, (IF(Segments!$F$61="Rectangular",Segments!$D$64*AF8-Segments!$D$65, IF(Segments!$C$61="Pipe",Segments!$D$64,Segments!$D$64*AF8))))</f>
        <v>0</v>
      </c>
      <c r="AK8" s="31">
        <f>IF(Segments!$C$4="Not In Use", 0, IF(AE8=0,0,AJ8*AG8/AE8))</f>
        <v>0</v>
      </c>
      <c r="AL8" s="19">
        <f>IF(AK8=0, 0,IF(Segments!$D$61="Chlorine", (AK8*EXP(0.071*AI8)-0.42)/2.94, IF(Segments!$D$61="Chlorine Dioxide", (AK8*EXP(0.072*AI8)+35.15)/21.25, IF(Segments!$D$61="Ozone", (AK8*EXP(0.068*AI8)-0.01)/0.47, IF(Segments!$D$61="Chloramines", (AK8*EXP(0.071*AI8)+410.7)/849.5, 0)))))</f>
        <v>0</v>
      </c>
      <c r="AM8" s="18">
        <f>IF(AK8=0, 0,IF(Segments!$D$61="Chlorine", AK8/(0.2828*AH8^2.69*AG8^0.15*0.933^(AI8-5)), IF(Segments!$D$61="Chlorine Dioxide", ((AK8*AI8^0.49)+0.18)/23.85, IF(Segments!$D$61="Ozone", (AK8*EXP(0.072*AI8)-0.01)/0.98, IF(Segments!$D$61="Chloramines", (AK8/(858.5-(24.3*AI8))), 0)))))</f>
        <v>0</v>
      </c>
      <c r="AN8" s="25">
        <f t="shared" si="4"/>
        <v>0</v>
      </c>
      <c r="AO8" s="19">
        <f t="shared" si="5"/>
        <v>0</v>
      </c>
      <c r="AQ8" s="80"/>
      <c r="AR8" s="3" t="str">
        <f>Segments!$C$61</f>
        <v>Not In Use</v>
      </c>
      <c r="AS8" s="33"/>
      <c r="AT8" s="33"/>
      <c r="AU8" s="33"/>
      <c r="AV8" s="33"/>
      <c r="AW8" s="35"/>
      <c r="AX8" s="28">
        <f>IF(Segments!$C$61="Not In Use",0, (IF(Segments!$F$61="Rectangular",Segments!$D$64*AT8-Segments!$D$65, IF(Segments!$C$61="Pipe",Segments!$D$64,Segments!$D$64*AT8))))</f>
        <v>0</v>
      </c>
      <c r="AY8" s="31">
        <f>IF(Segments!$C$4="Not In Use", 0, IF(AS8=0,0,AX8*AU8/AS8))</f>
        <v>0</v>
      </c>
      <c r="AZ8" s="19">
        <f>IF(AY8=0, 0,IF(Segments!$D$61="Chlorine", (AY8*EXP(0.071*AW8)-0.42)/2.94, IF(Segments!$D$61="Chlorine Dioxide", (AY8*EXP(0.072*AW8)+35.15)/21.25, IF(Segments!$D$61="Ozone", (AY8*EXP(0.068*AW8)-0.01)/0.47, IF(Segments!$D$61="Chloramines", (AY8*EXP(0.071*AW8)+410.7)/849.5, 0)))))</f>
        <v>0</v>
      </c>
      <c r="BA8" s="18">
        <f>IF(AY8=0, 0,IF(Segments!$D$61="Chlorine", AY8/(0.2828*AV8^2.69*AU8^0.15*0.933^(AW8-5)), IF(Segments!$D$61="Chlorine Dioxide", ((AY8*AW8^0.49)+0.18)/23.85, IF(Segments!$D$61="Ozone", (AY8*EXP(0.072*AW8)-0.01)/0.98, IF(Segments!$D$61="Chloramines", (AY8/(858.5-(24.3*AW8))), 0)))))</f>
        <v>0</v>
      </c>
      <c r="BB8" s="25">
        <f t="shared" si="6"/>
        <v>0</v>
      </c>
      <c r="BC8" s="19">
        <f t="shared" si="7"/>
        <v>0</v>
      </c>
    </row>
    <row r="9" spans="1:55" ht="13.5" thickBot="1" x14ac:dyDescent="0.25">
      <c r="A9" s="80"/>
      <c r="B9" s="3" t="str">
        <f>Segments!$C$74</f>
        <v>Not In Use</v>
      </c>
      <c r="C9" s="33"/>
      <c r="D9" s="33"/>
      <c r="E9" s="33"/>
      <c r="F9" s="33"/>
      <c r="G9" s="35"/>
      <c r="H9" s="28">
        <f>IF(Segments!$C$74="Not In Use",0, (IF(Segments!$F$74="Rectangular",Segments!$D$77*D9-Segments!$D$78, IF(Segments!$C$74="Pipe",Segments!$D$77,Segments!$D$77*D9))))</f>
        <v>0</v>
      </c>
      <c r="I9" s="31">
        <f>IF(Segments!$C$4="Not In Use", 0, IF(C9=0,0,H9*E9/C9))</f>
        <v>0</v>
      </c>
      <c r="J9" s="19">
        <f>IF(I9=0, 0,IF(Segments!$D$74="Chlorine", (I9*EXP(0.071*G9)-0.42)/2.94, IF(Segments!$D$74="Chlorine Dioxide", (I9*EXP(0.072*G9)+35.15)/21.25, IF(Segments!$D$74="Ozone", (I9*EXP(0.068*G9)-0.01)/0.47, IF(Segments!$D$74="Chloramines", (I9*EXP(0.071*G9)+410.7)/849.5, 0)))))</f>
        <v>0</v>
      </c>
      <c r="K9" s="18">
        <f>IF(I9=0, 0,IF(Segments!$D$74="Chlorine", I9/(0.2828*F9^2.69*E9^0.15*0.933^(G9-5)), IF(Segments!$D$74="Chlorine Dioxide", ((I9*G9^0.49)+0.18)/23.85, IF(Segments!$D$74="Ozone", (I9*EXP(0.072*G9)-0.01)/0.98, IF(Segments!$D$74="Chloramines", (I9/(858.5-(24.3*G9))), 0)))))</f>
        <v>0</v>
      </c>
      <c r="L9" s="25">
        <f t="shared" si="0"/>
        <v>0</v>
      </c>
      <c r="M9" s="19">
        <f t="shared" si="1"/>
        <v>0</v>
      </c>
      <c r="N9" s="15"/>
      <c r="O9" s="80"/>
      <c r="P9" s="3" t="str">
        <f>Segments!$C$74</f>
        <v>Not In Use</v>
      </c>
      <c r="Q9" s="33"/>
      <c r="R9" s="33"/>
      <c r="S9" s="33"/>
      <c r="T9" s="33"/>
      <c r="U9" s="35"/>
      <c r="V9" s="28">
        <f>IF(Segments!$C$74="Not In Use",0, (IF(Segments!$F$74="Rectangular",Segments!$D$77*R9-Segments!$D$78, IF(Segments!$C$74="Pipe",Segments!$D$77,Segments!$D$77*R9))))</f>
        <v>0</v>
      </c>
      <c r="W9" s="31">
        <f>IF(Segments!$C$4="Not In Use", 0, IF(Q9=0,0,V9*S9/Q9))</f>
        <v>0</v>
      </c>
      <c r="X9" s="19">
        <f>IF(W9=0, 0,IF(Segments!$D$74="Chlorine", (W9*EXP(0.071*U9)-0.42)/2.94, IF(Segments!$D$74="Chlorine Dioxide", (W9*EXP(0.072*U9)+35.15)/21.25, IF(Segments!$D$74="Ozone", (W9*EXP(0.068*U9)-0.01)/0.47, IF(Segments!$D$74="Chloramines", (W9*EXP(0.071*U9)+410.7)/849.5, 0)))))</f>
        <v>0</v>
      </c>
      <c r="Y9" s="18">
        <f>IF(W9=0, 0,IF(Segments!$D$74="Chlorine", W9/(0.2828*T9^2.69*S9^0.15*0.933^(U9-5)), IF(Segments!$D$74="Chlorine Dioxide", ((W9*U9^0.49)+0.18)/23.85, IF(Segments!$D$74="Ozone", (W9*EXP(0.072*U9)-0.01)/0.98, IF(Segments!$D$74="Chloramines", (W9/(858.5-(24.3*U9))), 0)))))</f>
        <v>0</v>
      </c>
      <c r="Z9" s="25">
        <f t="shared" si="2"/>
        <v>0</v>
      </c>
      <c r="AA9" s="19">
        <f t="shared" si="3"/>
        <v>0</v>
      </c>
      <c r="AC9" s="80"/>
      <c r="AD9" s="3" t="str">
        <f>Segments!$C$74</f>
        <v>Not In Use</v>
      </c>
      <c r="AE9" s="33"/>
      <c r="AF9" s="33"/>
      <c r="AG9" s="33"/>
      <c r="AH9" s="33"/>
      <c r="AI9" s="35"/>
      <c r="AJ9" s="28">
        <f>IF(Segments!$C$74="Not In Use",0, (IF(Segments!$F$74="Rectangular",Segments!$D$77*AF9-Segments!$D$78, IF(Segments!$C$74="Pipe",Segments!$D$77,Segments!$D$77*AF9))))</f>
        <v>0</v>
      </c>
      <c r="AK9" s="31">
        <f>IF(Segments!$C$4="Not In Use", 0, IF(AE9=0,0,AJ9*AG9/AE9))</f>
        <v>0</v>
      </c>
      <c r="AL9" s="19">
        <f>IF(AK9=0, 0,IF(Segments!$D$74="Chlorine", (AK9*EXP(0.071*AI9)-0.42)/2.94, IF(Segments!$D$74="Chlorine Dioxide", (AK9*EXP(0.072*AI9)+35.15)/21.25, IF(Segments!$D$74="Ozone", (AK9*EXP(0.068*AI9)-0.01)/0.47, IF(Segments!$D$74="Chloramines", (AK9*EXP(0.071*AI9)+410.7)/849.5, 0)))))</f>
        <v>0</v>
      </c>
      <c r="AM9" s="18">
        <f>IF(AK9=0, 0,IF(Segments!$D$74="Chlorine", AK9/(0.2828*AH9^2.69*AG9^0.15*0.933^(AI9-5)), IF(Segments!$D$74="Chlorine Dioxide", ((AK9*AI9^0.49)+0.18)/23.85, IF(Segments!$D$74="Ozone", (AK9*EXP(0.072*AI9)-0.01)/0.98, IF(Segments!$D$74="Chloramines", (AK9/(858.5-(24.3*AI9))), 0)))))</f>
        <v>0</v>
      </c>
      <c r="AN9" s="25">
        <f t="shared" si="4"/>
        <v>0</v>
      </c>
      <c r="AO9" s="19">
        <f t="shared" si="5"/>
        <v>0</v>
      </c>
      <c r="AQ9" s="80"/>
      <c r="AR9" s="3" t="str">
        <f>Segments!$C$74</f>
        <v>Not In Use</v>
      </c>
      <c r="AS9" s="33"/>
      <c r="AT9" s="33"/>
      <c r="AU9" s="33"/>
      <c r="AV9" s="33"/>
      <c r="AW9" s="35"/>
      <c r="AX9" s="28">
        <f>IF(Segments!$C$74="Not In Use",0, (IF(Segments!$F$74="Rectangular",Segments!$D$77*AT9-Segments!$D$78, IF(Segments!$C$74="Pipe",Segments!$D$77,Segments!$D$77*AT9))))</f>
        <v>0</v>
      </c>
      <c r="AY9" s="31">
        <f>IF(Segments!$C$4="Not In Use", 0, IF(AS9=0,0,AX9*AU9/AS9))</f>
        <v>0</v>
      </c>
      <c r="AZ9" s="19">
        <f>IF(AY9=0, 0,IF(Segments!$D$74="Chlorine", (AY9*EXP(0.071*AW9)-0.42)/2.94, IF(Segments!$D$74="Chlorine Dioxide", (AY9*EXP(0.072*AW9)+35.15)/21.25, IF(Segments!$D$74="Ozone", (AY9*EXP(0.068*AW9)-0.01)/0.47, IF(Segments!$D$74="Chloramines", (AY9*EXP(0.071*AW9)+410.7)/849.5, 0)))))</f>
        <v>0</v>
      </c>
      <c r="BA9" s="18">
        <f>IF(AY9=0, 0,IF(Segments!$D$74="Chlorine", AY9/(0.2828*AV9^2.69*AU9^0.15*0.933^(AW9-5)), IF(Segments!$D$74="Chlorine Dioxide", ((AY9*AW9^0.49)+0.18)/23.85, IF(Segments!$D$74="Ozone", (AY9*EXP(0.072*AW9)-0.01)/0.98, IF(Segments!$D$74="Chloramines", (AY9/(858.5-(24.3*AW9))), 0)))))</f>
        <v>0</v>
      </c>
      <c r="BB9" s="25">
        <f t="shared" si="6"/>
        <v>0</v>
      </c>
      <c r="BC9" s="19">
        <f t="shared" si="7"/>
        <v>0</v>
      </c>
    </row>
    <row r="10" spans="1:55" ht="13.5" thickBot="1" x14ac:dyDescent="0.25">
      <c r="A10" s="80"/>
      <c r="B10" s="3" t="str">
        <f>Segments!$C$85</f>
        <v>Not In Use</v>
      </c>
      <c r="C10" s="33"/>
      <c r="D10" s="33"/>
      <c r="E10" s="33"/>
      <c r="F10" s="33"/>
      <c r="G10" s="35"/>
      <c r="H10" s="28">
        <f>IF(Segments!$C$85="Not In Use",0, (IF(Segments!$F$85="Rectangular",Segments!$D$88*D10-Segments!$D$89, IF(Segments!$C$85="Pipe",Segments!$D$88,Segments!$D$88*D10))))</f>
        <v>0</v>
      </c>
      <c r="I10" s="31">
        <f>IF(Segments!$C$4="Not In Use", 0, IF(C10=0,0,H10*E10/C10))</f>
        <v>0</v>
      </c>
      <c r="J10" s="19">
        <f>IF(I10=0, 0,IF(Segments!$D$85="Chlorine", (I10*EXP(0.071*G10)-0.42)/2.94, IF(Segments!$D$85="Chlorine Dioxide", (I10*EXP(0.072*G10)+35.15)/21.25, IF(Segments!$D$85="Ozone", (I10*EXP(0.068*G10)-0.01)/0.47, IF(Segments!$D$85="Chloramines", (I10*EXP(0.071*G10)+410.7)/849.5, 0)))))</f>
        <v>0</v>
      </c>
      <c r="K10" s="18">
        <f>IF(I10=0, 0,IF(Segments!$D$85="Chlorine", I10/(0.2828*F10^2.69*E10^0.15*0.933^(G10-5)), IF(Segments!$D$85="Chlorine Dioxide", ((I10*G10^0.49)+0.18)/23.85, IF(Segments!$D$85="Ozone", (I10*EXP(0.072*G10)-0.01)/0.98, IF(Segments!$D$85="Chloramines", (I10/(858.5-(24.3*G10))), 0)))))</f>
        <v>0</v>
      </c>
      <c r="L10" s="25">
        <f t="shared" si="0"/>
        <v>0</v>
      </c>
      <c r="M10" s="19">
        <f t="shared" si="1"/>
        <v>0</v>
      </c>
      <c r="N10" s="15"/>
      <c r="O10" s="80"/>
      <c r="P10" s="3" t="str">
        <f>Segments!$C$85</f>
        <v>Not In Use</v>
      </c>
      <c r="Q10" s="33"/>
      <c r="R10" s="33"/>
      <c r="S10" s="33"/>
      <c r="T10" s="33"/>
      <c r="U10" s="35"/>
      <c r="V10" s="28">
        <f>IF(Segments!$C$85="Not In Use",0, (IF(Segments!$F$85="Rectangular",Segments!$D$88*R10-Segments!$D$89, IF(Segments!$C$85="Pipe",Segments!$D$88,Segments!$D$88*R10))))</f>
        <v>0</v>
      </c>
      <c r="W10" s="31">
        <f>IF(Segments!$C$4="Not In Use", 0, IF(Q10=0,0,V10*S10/Q10))</f>
        <v>0</v>
      </c>
      <c r="X10" s="19">
        <f>IF(W10=0, 0,IF(Segments!$D$85="Chlorine", (W10*EXP(0.071*U10)-0.42)/2.94, IF(Segments!$D$85="Chlorine Dioxide", (W10*EXP(0.072*U10)+35.15)/21.25, IF(Segments!$D$85="Ozone", (W10*EXP(0.068*U10)-0.01)/0.47, IF(Segments!$D$85="Chloramines", (W10*EXP(0.071*U10)+410.7)/849.5, 0)))))</f>
        <v>0</v>
      </c>
      <c r="Y10" s="18">
        <f>IF(W10=0, 0,IF(Segments!$D$85="Chlorine", W10/(0.2828*T10^2.69*S10^0.15*0.933^(U10-5)), IF(Segments!$D$85="Chlorine Dioxide", ((W10*U10^0.49)+0.18)/23.85, IF(Segments!$D$85="Ozone", (W10*EXP(0.072*U10)-0.01)/0.98, IF(Segments!$D$85="Chloramines", (W10/(858.5-(24.3*U10))), 0)))))</f>
        <v>0</v>
      </c>
      <c r="Z10" s="25">
        <f t="shared" si="2"/>
        <v>0</v>
      </c>
      <c r="AA10" s="19">
        <f t="shared" si="3"/>
        <v>0</v>
      </c>
      <c r="AC10" s="80"/>
      <c r="AD10" s="3" t="str">
        <f>Segments!$C$85</f>
        <v>Not In Use</v>
      </c>
      <c r="AE10" s="33"/>
      <c r="AF10" s="33"/>
      <c r="AG10" s="33"/>
      <c r="AH10" s="33"/>
      <c r="AI10" s="35"/>
      <c r="AJ10" s="28">
        <f>IF(Segments!$C$85="Not In Use",0, (IF(Segments!$F$85="Rectangular",Segments!$D$88*AF10-Segments!$D$89, IF(Segments!$C$85="Pipe",Segments!$D$88,Segments!$D$88*AF10))))</f>
        <v>0</v>
      </c>
      <c r="AK10" s="31">
        <f>IF(Segments!$C$4="Not In Use", 0, IF(AE10=0,0,AJ10*AG10/AE10))</f>
        <v>0</v>
      </c>
      <c r="AL10" s="19">
        <f>IF(AK10=0, 0,IF(Segments!$D$85="Chlorine", (AK10*EXP(0.071*AI10)-0.42)/2.94, IF(Segments!$D$85="Chlorine Dioxide", (AK10*EXP(0.072*AI10)+35.15)/21.25, IF(Segments!$D$85="Ozone", (AK10*EXP(0.068*AI10)-0.01)/0.47, IF(Segments!$D$85="Chloramines", (AK10*EXP(0.071*AI10)+410.7)/849.5, 0)))))</f>
        <v>0</v>
      </c>
      <c r="AM10" s="18">
        <f>IF(AK10=0, 0,IF(Segments!$D$85="Chlorine", AK10/(0.2828*AH10^2.69*AG10^0.15*0.933^(AI10-5)), IF(Segments!$D$85="Chlorine Dioxide", ((AK10*AI10^0.49)+0.18)/23.85, IF(Segments!$D$85="Ozone", (AK10*EXP(0.072*AI10)-0.01)/0.98, IF(Segments!$D$85="Chloramines", (AK10/(858.5-(24.3*AI10))), 0)))))</f>
        <v>0</v>
      </c>
      <c r="AN10" s="25">
        <f t="shared" si="4"/>
        <v>0</v>
      </c>
      <c r="AO10" s="19">
        <f t="shared" si="5"/>
        <v>0</v>
      </c>
      <c r="AQ10" s="80"/>
      <c r="AR10" s="3" t="str">
        <f>Segments!$C$85</f>
        <v>Not In Use</v>
      </c>
      <c r="AS10" s="33"/>
      <c r="AT10" s="33"/>
      <c r="AU10" s="33"/>
      <c r="AV10" s="33"/>
      <c r="AW10" s="35"/>
      <c r="AX10" s="28">
        <f>IF(Segments!$C$85="Not In Use",0, (IF(Segments!$F$85="Rectangular",Segments!$D$88*AT10-Segments!$D$89, IF(Segments!$C$85="Pipe",Segments!$D$88,Segments!$D$88*AT10))))</f>
        <v>0</v>
      </c>
      <c r="AY10" s="31">
        <f>IF(Segments!$C$4="Not In Use", 0, IF(AS10=0,0,AX10*AU10/AS10))</f>
        <v>0</v>
      </c>
      <c r="AZ10" s="19">
        <f>IF(AY10=0, 0,IF(Segments!$D$85="Chlorine", (AY10*EXP(0.071*AW10)-0.42)/2.94, IF(Segments!$D$85="Chlorine Dioxide", (AY10*EXP(0.072*AW10)+35.15)/21.25, IF(Segments!$D$85="Ozone", (AY10*EXP(0.068*AW10)-0.01)/0.47, IF(Segments!$D$85="Chloramines", (AY10*EXP(0.071*AW10)+410.7)/849.5, 0)))))</f>
        <v>0</v>
      </c>
      <c r="BA10" s="18">
        <f>IF(AY10=0, 0,IF(Segments!$D$85="Chlorine", AY10/(0.2828*AV10^2.69*AU10^0.15*0.933^(AW10-5)), IF(Segments!$D$85="Chlorine Dioxide", ((AY10*AW10^0.49)+0.18)/23.85, IF(Segments!$D$85="Ozone", (AY10*EXP(0.072*AW10)-0.01)/0.98, IF(Segments!$D$85="Chloramines", (AY10/(858.5-(24.3*AW10))), 0)))))</f>
        <v>0</v>
      </c>
      <c r="BB10" s="25">
        <f t="shared" si="6"/>
        <v>0</v>
      </c>
      <c r="BC10" s="19">
        <f t="shared" si="7"/>
        <v>0</v>
      </c>
    </row>
    <row r="11" spans="1:55" ht="13.5" thickBot="1" x14ac:dyDescent="0.25">
      <c r="A11" s="80"/>
      <c r="B11" s="3" t="str">
        <f>Segments!$C$96</f>
        <v>Not In Use</v>
      </c>
      <c r="C11" s="36"/>
      <c r="D11" s="36"/>
      <c r="E11" s="36"/>
      <c r="F11" s="36"/>
      <c r="G11" s="34"/>
      <c r="H11" s="29">
        <f>IF(Segments!$C$96="Not In Use",0, (IF(Segments!$F$96="Rectangular",Segments!$D$99*D11-Segments!$D$100, IF(Segments!$C$96="Pipe",Segments!$D$99,Segments!$D$99*D11))))</f>
        <v>0</v>
      </c>
      <c r="I11" s="32">
        <f>IF(Segments!$C$4="Not In Use", 0, IF(C11=0,0,H11*E11/C11))</f>
        <v>0</v>
      </c>
      <c r="J11" s="19">
        <f>IF(I11=0, 0,IF(Segments!$D$96="Chlorine", (I11*EXP(0.071*G11)-0.42)/2.94, IF(Segments!$D$96="Chlorine Dioxide", (I11*EXP(0.072*G11)+35.15)/21.25, IF(Segments!$D$96="Ozone", (I11*EXP(0.068*G11)-0.01)/0.47, IF(Segments!$D$96="Chloramines", (I11*EXP(0.071*G11)+410.7)/849.5, 0)))))</f>
        <v>0</v>
      </c>
      <c r="K11" s="18">
        <f>IF(I11=0, 0,IF(Segments!$D$96="Chlorine", I11/(0.2828*F11^2.69*E11^0.15*0.933^(G11-5)), IF(Segments!$D$96="Chlorine Dioxide", ((I11*G11^0.49)+0.18)/23.85, IF(Segments!$D$96="Ozone", (I11*EXP(0.072*G11)-0.01)/0.98, IF(Segments!$D$96="Chloramines", (I11/(858.5-(24.3*G11))), 0)))))</f>
        <v>0</v>
      </c>
      <c r="L11" s="25">
        <f t="shared" si="0"/>
        <v>0</v>
      </c>
      <c r="M11" s="19">
        <f t="shared" si="1"/>
        <v>0</v>
      </c>
      <c r="N11" s="15"/>
      <c r="O11" s="80"/>
      <c r="P11" s="3" t="str">
        <f>Segments!$C$96</f>
        <v>Not In Use</v>
      </c>
      <c r="Q11" s="36"/>
      <c r="R11" s="36"/>
      <c r="S11" s="36"/>
      <c r="T11" s="36"/>
      <c r="U11" s="34"/>
      <c r="V11" s="29">
        <f>IF(Segments!$C$96="Not In Use",0, (IF(Segments!$F$96="Rectangular",Segments!$D$99*R11-Segments!$D$100, IF(Segments!$C$96="Pipe",Segments!$D$99,Segments!$D$99*R11))))</f>
        <v>0</v>
      </c>
      <c r="W11" s="32">
        <f>IF(Segments!$C$4="Not In Use", 0, IF(Q11=0,0,V11*S11/Q11))</f>
        <v>0</v>
      </c>
      <c r="X11" s="19">
        <f>IF(W11=0, 0,IF(Segments!$D$96="Chlorine", (W11*EXP(0.071*U11)-0.42)/2.94, IF(Segments!$D$96="Chlorine Dioxide", (W11*EXP(0.072*U11)+35.15)/21.25, IF(Segments!$D$96="Ozone", (W11*EXP(0.068*U11)-0.01)/0.47, IF(Segments!$D$96="Chloramines", (W11*EXP(0.071*U11)+410.7)/849.5, 0)))))</f>
        <v>0</v>
      </c>
      <c r="Y11" s="18">
        <f>IF(W11=0, 0,IF(Segments!$D$96="Chlorine", W11/(0.2828*T11^2.69*S11^0.15*0.933^(U11-5)), IF(Segments!$D$96="Chlorine Dioxide", ((W11*U11^0.49)+0.18)/23.85, IF(Segments!$D$96="Ozone", (W11*EXP(0.072*U11)-0.01)/0.98, IF(Segments!$D$96="Chloramines", (W11/(858.5-(24.3*U11))), 0)))))</f>
        <v>0</v>
      </c>
      <c r="Z11" s="25">
        <f t="shared" si="2"/>
        <v>0</v>
      </c>
      <c r="AA11" s="19">
        <f t="shared" si="3"/>
        <v>0</v>
      </c>
      <c r="AC11" s="80"/>
      <c r="AD11" s="3" t="str">
        <f>Segments!$C$96</f>
        <v>Not In Use</v>
      </c>
      <c r="AE11" s="36"/>
      <c r="AF11" s="36"/>
      <c r="AG11" s="36"/>
      <c r="AH11" s="36"/>
      <c r="AI11" s="34"/>
      <c r="AJ11" s="29">
        <f>IF(Segments!$C$96="Not In Use",0, (IF(Segments!$F$96="Rectangular",Segments!$D$99*AF11-Segments!$D$100, IF(Segments!$C$96="Pipe",Segments!$D$99,Segments!$D$99*AF11))))</f>
        <v>0</v>
      </c>
      <c r="AK11" s="32">
        <f>IF(Segments!$C$4="Not In Use", 0, IF(AE11=0,0,AJ11*AG11/AE11))</f>
        <v>0</v>
      </c>
      <c r="AL11" s="19">
        <f>IF(AK11=0, 0,IF(Segments!$D$96="Chlorine", (AK11*EXP(0.071*AI11)-0.42)/2.94, IF(Segments!$D$96="Chlorine Dioxide", (AK11*EXP(0.072*AI11)+35.15)/21.25, IF(Segments!$D$96="Ozone", (AK11*EXP(0.068*AI11)-0.01)/0.47, IF(Segments!$D$96="Chloramines", (AK11*EXP(0.071*AI11)+410.7)/849.5, 0)))))</f>
        <v>0</v>
      </c>
      <c r="AM11" s="18">
        <f>IF(AK11=0, 0,IF(Segments!$D$96="Chlorine", AK11/(0.2828*AH11^2.69*AG11^0.15*0.933^(AI11-5)), IF(Segments!$D$96="Chlorine Dioxide", ((AK11*AI11^0.49)+0.18)/23.85, IF(Segments!$D$96="Ozone", (AK11*EXP(0.072*AI11)-0.01)/0.98, IF(Segments!$D$96="Chloramines", (AK11/(858.5-(24.3*AI11))), 0)))))</f>
        <v>0</v>
      </c>
      <c r="AN11" s="25">
        <f t="shared" si="4"/>
        <v>0</v>
      </c>
      <c r="AO11" s="19">
        <f t="shared" si="5"/>
        <v>0</v>
      </c>
      <c r="AQ11" s="80"/>
      <c r="AR11" s="3" t="str">
        <f>Segments!$C$96</f>
        <v>Not In Use</v>
      </c>
      <c r="AS11" s="36"/>
      <c r="AT11" s="36"/>
      <c r="AU11" s="36"/>
      <c r="AV11" s="36"/>
      <c r="AW11" s="34"/>
      <c r="AX11" s="29">
        <f>IF(Segments!$C$96="Not In Use",0, (IF(Segments!$F$96="Rectangular",Segments!$D$99*AT11-Segments!$D$100, IF(Segments!$C$96="Pipe",Segments!$D$99,Segments!$D$99*AT11))))</f>
        <v>0</v>
      </c>
      <c r="AY11" s="32">
        <f>IF(Segments!$C$4="Not In Use", 0, IF(AS11=0,0,AX11*AU11/AS11))</f>
        <v>0</v>
      </c>
      <c r="AZ11" s="19">
        <f>IF(AY11=0, 0,IF(Segments!$D$96="Chlorine", (AY11*EXP(0.071*AW11)-0.42)/2.94, IF(Segments!$D$96="Chlorine Dioxide", (AY11*EXP(0.072*AW11)+35.15)/21.25, IF(Segments!$D$96="Ozone", (AY11*EXP(0.068*AW11)-0.01)/0.47, IF(Segments!$D$96="Chloramines", (AY11*EXP(0.071*AW11)+410.7)/849.5, 0)))))</f>
        <v>0</v>
      </c>
      <c r="BA11" s="18">
        <f>IF(AY11=0, 0,IF(Segments!$D$96="Chlorine", AY11/(0.2828*AV11^2.69*AU11^0.15*0.933^(AW11-5)), IF(Segments!$D$96="Chlorine Dioxide", ((AY11*AW11^0.49)+0.18)/23.85, IF(Segments!$D$96="Ozone", (AY11*EXP(0.072*AW11)-0.01)/0.98, IF(Segments!$D$96="Chloramines", (AY11/(858.5-(24.3*AW11))), 0)))))</f>
        <v>0</v>
      </c>
      <c r="BB11" s="25">
        <f t="shared" si="6"/>
        <v>0</v>
      </c>
      <c r="BC11" s="19">
        <f t="shared" si="7"/>
        <v>0</v>
      </c>
    </row>
    <row r="12" spans="1:55" ht="13.5" thickBot="1" x14ac:dyDescent="0.25">
      <c r="A12" s="81"/>
      <c r="B12" s="22" t="s">
        <v>42</v>
      </c>
      <c r="C12" s="23"/>
      <c r="D12" s="23"/>
      <c r="E12" s="23"/>
      <c r="F12" s="23"/>
      <c r="G12" s="23"/>
      <c r="H12" s="26"/>
      <c r="I12" s="50">
        <f>SUM(I3:I11)</f>
        <v>112.09274214285715</v>
      </c>
      <c r="J12" s="50">
        <f>SUM(J3:J11)</f>
        <v>146.49565716496525</v>
      </c>
      <c r="K12" s="50">
        <f>SUM(K3:K11)</f>
        <v>5.3142450391756331</v>
      </c>
      <c r="L12" s="50">
        <f>SUM(L3:L11)</f>
        <v>36.623914291241313</v>
      </c>
      <c r="M12" s="50">
        <f>SUM(M3:M11)</f>
        <v>1.7714150130585442</v>
      </c>
      <c r="N12" s="15"/>
      <c r="O12" s="81"/>
      <c r="P12" s="22" t="s">
        <v>42</v>
      </c>
      <c r="Q12" s="23"/>
      <c r="R12" s="23"/>
      <c r="S12" s="23"/>
      <c r="T12" s="23"/>
      <c r="U12" s="23"/>
      <c r="V12" s="26"/>
      <c r="W12" s="50">
        <f>SUM(W3:W11)</f>
        <v>112.09274214285715</v>
      </c>
      <c r="X12" s="50">
        <f>SUM(X3:X11)</f>
        <v>146.49565716496525</v>
      </c>
      <c r="Y12" s="50">
        <f>SUM(Y3:Y11)</f>
        <v>5.3142450391756331</v>
      </c>
      <c r="Z12" s="50">
        <f>SUM(Z3:Z11)</f>
        <v>36.623914291241313</v>
      </c>
      <c r="AA12" s="50">
        <f>SUM(AA3:AA11)</f>
        <v>1.7714150130585442</v>
      </c>
      <c r="AC12" s="81"/>
      <c r="AD12" s="22" t="s">
        <v>42</v>
      </c>
      <c r="AE12" s="23"/>
      <c r="AF12" s="23"/>
      <c r="AG12" s="23"/>
      <c r="AH12" s="23"/>
      <c r="AI12" s="23"/>
      <c r="AJ12" s="26"/>
      <c r="AK12" s="50">
        <f>SUM(AK3:AK11)</f>
        <v>3.9219910714285717</v>
      </c>
      <c r="AL12" s="50">
        <f>SUM(AL3:AL11)</f>
        <v>3.7268927194332697</v>
      </c>
      <c r="AM12" s="50">
        <f>SUM(AM3:AM11)</f>
        <v>0.11557988836844089</v>
      </c>
      <c r="AN12" s="50">
        <f>SUM(AN3:AN11)</f>
        <v>0.93172317985831743</v>
      </c>
      <c r="AO12" s="50">
        <f>SUM(AO3:AO11)</f>
        <v>3.8526629456146967E-2</v>
      </c>
      <c r="AQ12" s="81"/>
      <c r="AR12" s="22" t="s">
        <v>42</v>
      </c>
      <c r="AS12" s="23"/>
      <c r="AT12" s="23"/>
      <c r="AU12" s="23"/>
      <c r="AV12" s="23"/>
      <c r="AW12" s="23"/>
      <c r="AX12" s="26"/>
      <c r="AY12" s="50">
        <f>SUM(AY3:AY11)</f>
        <v>3.9219910714285717</v>
      </c>
      <c r="AZ12" s="50">
        <f>SUM(AZ3:AZ11)</f>
        <v>3.7268927194332697</v>
      </c>
      <c r="BA12" s="50">
        <f>SUM(BA3:BA11)</f>
        <v>0.11557988836844089</v>
      </c>
      <c r="BB12" s="50">
        <f>SUM(BB3:BB11)</f>
        <v>0.93172317985831743</v>
      </c>
      <c r="BC12" s="50">
        <f>SUM(BC3:BC11)</f>
        <v>3.8526629456146967E-2</v>
      </c>
    </row>
    <row r="13" spans="1:55" s="15" customFormat="1" ht="6.75" customHeight="1" thickBot="1" x14ac:dyDescent="0.25"/>
    <row r="14" spans="1:55" ht="51.75" customHeight="1" thickBot="1" x14ac:dyDescent="0.25">
      <c r="A14" s="79" t="s">
        <v>43</v>
      </c>
      <c r="B14" s="6" t="s">
        <v>23</v>
      </c>
      <c r="C14" s="16" t="s">
        <v>83</v>
      </c>
      <c r="D14" s="6" t="s">
        <v>38</v>
      </c>
      <c r="E14" s="16" t="s">
        <v>45</v>
      </c>
      <c r="F14" s="16" t="s">
        <v>6</v>
      </c>
      <c r="G14" s="16" t="s">
        <v>37</v>
      </c>
      <c r="H14" s="16" t="s">
        <v>35</v>
      </c>
      <c r="I14" s="16" t="s">
        <v>46</v>
      </c>
      <c r="J14" s="16" t="s">
        <v>39</v>
      </c>
      <c r="K14" s="16" t="s">
        <v>40</v>
      </c>
      <c r="L14" s="16" t="s">
        <v>41</v>
      </c>
      <c r="M14" s="17" t="s">
        <v>36</v>
      </c>
      <c r="N14" s="15"/>
      <c r="O14" s="79" t="s">
        <v>51</v>
      </c>
      <c r="P14" s="6" t="s">
        <v>23</v>
      </c>
      <c r="Q14" s="16" t="s">
        <v>83</v>
      </c>
      <c r="R14" s="6" t="s">
        <v>38</v>
      </c>
      <c r="S14" s="16" t="s">
        <v>45</v>
      </c>
      <c r="T14" s="16" t="s">
        <v>6</v>
      </c>
      <c r="U14" s="16" t="s">
        <v>37</v>
      </c>
      <c r="V14" s="16" t="s">
        <v>35</v>
      </c>
      <c r="W14" s="16" t="s">
        <v>46</v>
      </c>
      <c r="X14" s="16" t="s">
        <v>39</v>
      </c>
      <c r="Y14" s="16" t="s">
        <v>40</v>
      </c>
      <c r="Z14" s="16" t="s">
        <v>41</v>
      </c>
      <c r="AA14" s="17" t="s">
        <v>36</v>
      </c>
      <c r="AC14" s="79" t="s">
        <v>69</v>
      </c>
      <c r="AD14" s="6" t="s">
        <v>23</v>
      </c>
      <c r="AE14" s="16" t="s">
        <v>83</v>
      </c>
      <c r="AF14" s="6" t="s">
        <v>38</v>
      </c>
      <c r="AG14" s="16" t="s">
        <v>45</v>
      </c>
      <c r="AH14" s="16" t="s">
        <v>6</v>
      </c>
      <c r="AI14" s="16" t="s">
        <v>37</v>
      </c>
      <c r="AJ14" s="16" t="s">
        <v>35</v>
      </c>
      <c r="AK14" s="16" t="s">
        <v>46</v>
      </c>
      <c r="AL14" s="16" t="s">
        <v>39</v>
      </c>
      <c r="AM14" s="16" t="s">
        <v>40</v>
      </c>
      <c r="AN14" s="16" t="s">
        <v>41</v>
      </c>
      <c r="AO14" s="17" t="s">
        <v>36</v>
      </c>
      <c r="AQ14" s="79" t="s">
        <v>73</v>
      </c>
      <c r="AR14" s="6" t="s">
        <v>23</v>
      </c>
      <c r="AS14" s="16" t="s">
        <v>83</v>
      </c>
      <c r="AT14" s="6" t="s">
        <v>38</v>
      </c>
      <c r="AU14" s="16" t="s">
        <v>45</v>
      </c>
      <c r="AV14" s="16" t="s">
        <v>6</v>
      </c>
      <c r="AW14" s="16" t="s">
        <v>37</v>
      </c>
      <c r="AX14" s="16" t="s">
        <v>35</v>
      </c>
      <c r="AY14" s="16" t="s">
        <v>46</v>
      </c>
      <c r="AZ14" s="16" t="s">
        <v>39</v>
      </c>
      <c r="BA14" s="16" t="s">
        <v>40</v>
      </c>
      <c r="BB14" s="16" t="s">
        <v>41</v>
      </c>
      <c r="BC14" s="17" t="s">
        <v>36</v>
      </c>
    </row>
    <row r="15" spans="1:55" ht="13.5" thickBot="1" x14ac:dyDescent="0.25">
      <c r="A15" s="80"/>
      <c r="B15" s="3" t="str">
        <f>Segments!$C$4</f>
        <v>Rapid Mix</v>
      </c>
      <c r="C15" s="34">
        <v>1400</v>
      </c>
      <c r="D15" s="33">
        <v>12</v>
      </c>
      <c r="E15" s="33">
        <v>0.3</v>
      </c>
      <c r="F15" s="33">
        <v>6.9</v>
      </c>
      <c r="G15" s="35">
        <v>19</v>
      </c>
      <c r="H15" s="27">
        <f>IF(Segments!$C$4="Not In Use",0, (IF(Segments!$F$4="Rectangular",Segments!$D$7*D15-Segments!$D$8, IF(Segments!$C$4="Pipe",Segments!$D$7,Segments!$D$7*D15))))</f>
        <v>4392.63</v>
      </c>
      <c r="I15" s="30">
        <f>IF(Segments!$C$4="Not In Use", 0, IF(C15=0,0,H15*E15/C15))</f>
        <v>0.94127785714285717</v>
      </c>
      <c r="J15" s="21">
        <f>IF(I15=0, 0,IF(Segments!$D$4="Chlorine", (I15*EXP(0.071*G15)-0.42)/2.94, IF(Segments!$D$4="Chlorine Dioxide", (I15*EXP(0.072*G15)+35.15)/21.25, IF(Segments!$D$4="Ozone", (I15*EXP(0.068*G15)-0.01)/0.47, IF(Segments!$D$4="Chloramines", (I15*EXP(0.071*G15)+410.7)/849.5, 0)))))</f>
        <v>1.0909116133450996</v>
      </c>
      <c r="K15" s="20">
        <f>IF(I15=0, 0,IF(Segments!$D$4="Chlorine", I15/(0.2828*F15^2.69*E15^0.15*0.933^(G15-5)), IF(Segments!$D$4="Chlorine Dioxide", ((I15*G15^0.49)+0.18)/23.85, IF(Segments!$D$4="Ozone", (I15*EXP(0.072*G15)-0.01)/0.98, IF(Segments!$D$4="Chloramines", (I15/(858.5-(24.3*G15))), 0)))))</f>
        <v>5.8320761032030599E-2</v>
      </c>
      <c r="L15" s="24">
        <f>J15/4</f>
        <v>0.27272790333627489</v>
      </c>
      <c r="M15" s="21">
        <f>K15/3</f>
        <v>1.9440253677343533E-2</v>
      </c>
      <c r="N15" s="15"/>
      <c r="O15" s="80"/>
      <c r="P15" s="3" t="str">
        <f>Segments!$C$4</f>
        <v>Rapid Mix</v>
      </c>
      <c r="Q15" s="34">
        <v>1400</v>
      </c>
      <c r="R15" s="33">
        <v>12</v>
      </c>
      <c r="S15" s="33">
        <v>0.3</v>
      </c>
      <c r="T15" s="33">
        <v>6.9</v>
      </c>
      <c r="U15" s="35">
        <v>19</v>
      </c>
      <c r="V15" s="27">
        <f>IF(Segments!$C$4="Not In Use",0, (IF(Segments!$F$4="Rectangular",Segments!$D$7*R15-Segments!$D$8, IF(Segments!$C$4="Pipe",Segments!$D$7,Segments!$D$7*R15))))</f>
        <v>4392.63</v>
      </c>
      <c r="W15" s="30">
        <f>IF(Segments!$C$4="Not In Use", 0, IF(Q15=0,0,V15*S15/Q15))</f>
        <v>0.94127785714285717</v>
      </c>
      <c r="X15" s="21">
        <f>IF(W15=0, 0,IF(Segments!$D$4="Chlorine", (W15*EXP(0.071*U15)-0.42)/2.94, IF(Segments!$D$4="Chlorine Dioxide", (W15*EXP(0.072*U15)+35.15)/21.25, IF(Segments!$D$4="Ozone", (W15*EXP(0.068*U15)-0.01)/0.47, IF(Segments!$D$4="Chloramines", (W15*EXP(0.071*U15)+410.7)/849.5, 0)))))</f>
        <v>1.0909116133450996</v>
      </c>
      <c r="Y15" s="20">
        <f>IF(W15=0, 0,IF(Segments!$D$4="Chlorine", W15/(0.2828*T15^2.69*S15^0.15*0.933^(U15-5)), IF(Segments!$D$4="Chlorine Dioxide", ((W15*U15^0.49)+0.18)/23.85, IF(Segments!$D$4="Ozone", (W15*EXP(0.072*U15)-0.01)/0.98, IF(Segments!$D$4="Chloramines", (W15/(858.5-(24.3*U15))), 0)))))</f>
        <v>5.8320761032030599E-2</v>
      </c>
      <c r="Z15" s="24">
        <f>X15/4</f>
        <v>0.27272790333627489</v>
      </c>
      <c r="AA15" s="21">
        <f>Y15/3</f>
        <v>1.9440253677343533E-2</v>
      </c>
      <c r="AC15" s="80"/>
      <c r="AD15" s="3" t="str">
        <f>Segments!$C$4</f>
        <v>Rapid Mix</v>
      </c>
      <c r="AE15" s="34">
        <v>1400</v>
      </c>
      <c r="AF15" s="33">
        <v>10</v>
      </c>
      <c r="AG15" s="33">
        <v>1.5</v>
      </c>
      <c r="AH15" s="33">
        <v>7.5</v>
      </c>
      <c r="AI15" s="35">
        <v>15</v>
      </c>
      <c r="AJ15" s="27">
        <f>IF(Segments!$C$4="Not In Use",0, (IF(Segments!$F$4="Rectangular",Segments!$D$7*AF15-Segments!$D$8, IF(Segments!$C$4="Pipe",Segments!$D$7,Segments!$D$7*AF15))))</f>
        <v>3660.5250000000001</v>
      </c>
      <c r="AK15" s="30">
        <f>IF(Segments!$C$4="Not In Use", 0, IF(AE15=0,0,AJ15*AG15/AE15))</f>
        <v>3.9219910714285717</v>
      </c>
      <c r="AL15" s="21">
        <f>IF(AK15=0, 0,IF(Segments!$D$4="Chlorine", (AK15*EXP(0.071*AI15)-0.42)/2.94, IF(Segments!$D$4="Chlorine Dioxide", (AK15*EXP(0.072*AI15)+35.15)/21.25, IF(Segments!$D$4="Ozone", (AK15*EXP(0.068*AI15)-0.01)/0.47, IF(Segments!$D$4="Chloramines", (AK15*EXP(0.071*AI15)+410.7)/849.5, 0)))))</f>
        <v>3.7268927194332697</v>
      </c>
      <c r="AM15" s="20">
        <f>IF(AK15=0, 0,IF(Segments!$D$4="Chlorine", AK15/(0.2828*AH15^2.69*AG15^0.15*0.933^(AI15-5)), IF(Segments!$D$4="Chlorine Dioxide", ((AK15*AI15^0.49)+0.18)/23.85, IF(Segments!$D$4="Ozone", (AK15*EXP(0.072*AI15)-0.01)/0.98, IF(Segments!$D$4="Chloramines", (AK15/(858.5-(24.3*AI15))), 0)))))</f>
        <v>0.11557988836844089</v>
      </c>
      <c r="AN15" s="24">
        <f>AL15/4</f>
        <v>0.93172317985831743</v>
      </c>
      <c r="AO15" s="21">
        <f>AM15/3</f>
        <v>3.8526629456146967E-2</v>
      </c>
      <c r="AQ15" s="80"/>
      <c r="AR15" s="3" t="str">
        <f>Segments!$C$4</f>
        <v>Rapid Mix</v>
      </c>
      <c r="AS15" s="34">
        <v>1400</v>
      </c>
      <c r="AT15" s="33">
        <v>10</v>
      </c>
      <c r="AU15" s="33">
        <v>1.5</v>
      </c>
      <c r="AV15" s="33">
        <v>7.5</v>
      </c>
      <c r="AW15" s="35">
        <v>15</v>
      </c>
      <c r="AX15" s="27">
        <f>IF(Segments!$C$4="Not In Use",0, (IF(Segments!$F$4="Rectangular",Segments!$D$7*AT15-Segments!$D$8, IF(Segments!$C$4="Pipe",Segments!$D$7,Segments!$D$7*AT15))))</f>
        <v>3660.5250000000001</v>
      </c>
      <c r="AY15" s="30">
        <f>IF(Segments!$C$4="Not In Use", 0, IF(AS15=0,0,AX15*AU15/AS15))</f>
        <v>3.9219910714285717</v>
      </c>
      <c r="AZ15" s="21">
        <f>IF(AY15=0, 0,IF(Segments!$D$4="Chlorine", (AY15*EXP(0.071*AW15)-0.42)/2.94, IF(Segments!$D$4="Chlorine Dioxide", (AY15*EXP(0.072*AW15)+35.15)/21.25, IF(Segments!$D$4="Ozone", (AY15*EXP(0.068*AW15)-0.01)/0.47, IF(Segments!$D$4="Chloramines", (AY15*EXP(0.071*AW15)+410.7)/849.5, 0)))))</f>
        <v>3.7268927194332697</v>
      </c>
      <c r="BA15" s="20">
        <f>IF(AY15=0, 0,IF(Segments!$D$4="Chlorine", AY15/(0.2828*AV15^2.69*AU15^0.15*0.933^(AW15-5)), IF(Segments!$D$4="Chlorine Dioxide", ((AY15*AW15^0.49)+0.18)/23.85, IF(Segments!$D$4="Ozone", (AY15*EXP(0.072*AW15)-0.01)/0.98, IF(Segments!$D$4="Chloramines", (AY15/(858.5-(24.3*AW15))), 0)))))</f>
        <v>0.11557988836844089</v>
      </c>
      <c r="BB15" s="24">
        <f>AZ15/4</f>
        <v>0.93172317985831743</v>
      </c>
      <c r="BC15" s="21">
        <f>BA15/3</f>
        <v>3.8526629456146967E-2</v>
      </c>
    </row>
    <row r="16" spans="1:55" ht="13.5" thickBot="1" x14ac:dyDescent="0.25">
      <c r="A16" s="80"/>
      <c r="B16" s="3" t="str">
        <f>Segments!$C$15</f>
        <v>Flocculation</v>
      </c>
      <c r="C16" s="33">
        <v>1400</v>
      </c>
      <c r="D16" s="33">
        <v>12</v>
      </c>
      <c r="E16" s="33">
        <v>0</v>
      </c>
      <c r="F16" s="33">
        <v>6.9</v>
      </c>
      <c r="G16" s="35">
        <v>19</v>
      </c>
      <c r="H16" s="28">
        <f>IF(Segments!$C$15="Not In Use",0, (IF(Segments!$F$15="Rectangular",Segments!$D$18*D16-Segments!$D$19, IF(Segments!$C$15="Pipe",Segments!$D$18,Segments!$D$18*D16))))</f>
        <v>0</v>
      </c>
      <c r="I16" s="31">
        <f>IF(Segments!$C$4="Not In Use", 0, IF(C16=0,0,H16*E16/C16))</f>
        <v>0</v>
      </c>
      <c r="J16" s="19">
        <f>IF(I16=0, 0,IF(Segments!$D$15="Chlorine", (I16*EXP(0.071*G16)-0.42)/2.94, IF(Segments!$D$15="Chlorine Dioxide", (I16*EXP(0.072*G16)+35.15)/21.25, IF(Segments!$D$15="Ozone", (I16*EXP(0.068*G16)-0.01)/0.47, IF(Segments!$D$15="Chloramines", (I16*EXP(0.071*G16)+410.7)/849.5, 0)))))</f>
        <v>0</v>
      </c>
      <c r="K16" s="18">
        <f>IF(I16=0, 0,IF(Segments!$D$15="Chlorine", I16/(0.2828*F16^2.69*E16^0.15*0.933^(G16-5)), IF(Segments!$D$15="Chlorine Dioxide", ((I16*G16^0.49)+0.18)/23.85, IF(Segments!$D$15="Ozone", (I16*exp^(0.072*G16)-0.01)/0.98, IF(Segments!$D$15="Chloramines", (I16/(858.5-(24.3*G16))), 0)))))</f>
        <v>0</v>
      </c>
      <c r="L16" s="25">
        <f t="shared" ref="L16:L23" si="8">J16/4</f>
        <v>0</v>
      </c>
      <c r="M16" s="19">
        <f t="shared" ref="M16:M23" si="9">K16/3</f>
        <v>0</v>
      </c>
      <c r="N16" s="15"/>
      <c r="O16" s="80"/>
      <c r="P16" s="3" t="str">
        <f>Segments!$C$15</f>
        <v>Flocculation</v>
      </c>
      <c r="Q16" s="33">
        <v>1400</v>
      </c>
      <c r="R16" s="33">
        <v>12</v>
      </c>
      <c r="S16" s="33">
        <v>0</v>
      </c>
      <c r="T16" s="33">
        <v>6.9</v>
      </c>
      <c r="U16" s="35">
        <v>19</v>
      </c>
      <c r="V16" s="28">
        <f>IF(Segments!$C$15="Not In Use",0, (IF(Segments!$F$15="Rectangular",Segments!$D$18*R16-Segments!$D$19, IF(Segments!$C$15="Pipe",Segments!$D$18,Segments!$D$18*R16))))</f>
        <v>0</v>
      </c>
      <c r="W16" s="31">
        <f>IF(Segments!$C$4="Not In Use", 0, IF(Q16=0,0,V16*S16/Q16))</f>
        <v>0</v>
      </c>
      <c r="X16" s="19">
        <f>IF(W16=0, 0,IF(Segments!$D$15="Chlorine", (W16*EXP(0.071*U16)-0.42)/2.94, IF(Segments!$D$15="Chlorine Dioxide", (W16*EXP(0.072*U16)+35.15)/21.25, IF(Segments!$D$15="Ozone", (W16*EXP(0.068*U16)-0.01)/0.47, IF(Segments!$D$15="Chloramines", (W16*EXP(0.071*U16)+410.7)/849.5, 0)))))</f>
        <v>0</v>
      </c>
      <c r="Y16" s="18">
        <f>IF(W16=0, 0,IF(Segments!$D$15="Chlorine", W16/(0.2828*T16^2.69*S16^0.15*0.933^(U16-5)), IF(Segments!$D$15="Chlorine Dioxide", ((W16*U16^0.49)+0.18)/23.85, IF(Segments!$D$15="Ozone", (W16*exp^(0.072*U16)-0.01)/0.98, IF(Segments!$D$15="Chloramines", (W16/(858.5-(24.3*U16))), 0)))))</f>
        <v>0</v>
      </c>
      <c r="Z16" s="25">
        <f t="shared" ref="Z16:Z23" si="10">X16/4</f>
        <v>0</v>
      </c>
      <c r="AA16" s="19">
        <f t="shared" ref="AA16:AA23" si="11">Y16/3</f>
        <v>0</v>
      </c>
      <c r="AC16" s="80"/>
      <c r="AD16" s="3" t="str">
        <f>Segments!$C$15</f>
        <v>Flocculation</v>
      </c>
      <c r="AE16" s="33">
        <v>1400</v>
      </c>
      <c r="AF16" s="33"/>
      <c r="AG16" s="33">
        <v>1.4</v>
      </c>
      <c r="AH16" s="33">
        <v>7.5</v>
      </c>
      <c r="AI16" s="35">
        <v>15</v>
      </c>
      <c r="AJ16" s="28">
        <f>IF(Segments!$C$15="Not In Use",0, (IF(Segments!$F$15="Rectangular",Segments!$D$18*AF16-Segments!$D$19, IF(Segments!$C$15="Pipe",Segments!$D$18,Segments!$D$18*AF16))))</f>
        <v>0</v>
      </c>
      <c r="AK16" s="31">
        <f>IF(Segments!$C$4="Not In Use", 0, IF(AE16=0,0,AJ16*AG16/AE16))</f>
        <v>0</v>
      </c>
      <c r="AL16" s="19">
        <f>IF(AK16=0, 0,IF(Segments!$D$15="Chlorine", (AK16*EXP(0.071*AI16)-0.42)/2.94, IF(Segments!$D$15="Chlorine Dioxide", (AK16*EXP(0.072*AI16)+35.15)/21.25, IF(Segments!$D$15="Ozone", (AK16*EXP(0.068*AI16)-0.01)/0.47, IF(Segments!$D$15="Chloramines", (AK16*EXP(0.071*AI16)+410.7)/849.5, 0)))))</f>
        <v>0</v>
      </c>
      <c r="AM16" s="18">
        <f>IF(AK16=0, 0,IF(Segments!$D$15="Chlorine", AK16/(0.2828*AH16^2.69*AG16^0.15*0.933^(AI16-5)), IF(Segments!$D$15="Chlorine Dioxide", ((AK16*AI16^0.49)+0.18)/23.85, IF(Segments!$D$15="Ozone", (AK16*exp^(0.072*AI16)-0.01)/0.98, IF(Segments!$D$15="Chloramines", (AK16/(858.5-(24.3*AI16))), 0)))))</f>
        <v>0</v>
      </c>
      <c r="AN16" s="25">
        <f t="shared" ref="AN16:AN23" si="12">AL16/4</f>
        <v>0</v>
      </c>
      <c r="AO16" s="19">
        <f t="shared" ref="AO16:AO23" si="13">AM16/3</f>
        <v>0</v>
      </c>
      <c r="AQ16" s="80"/>
      <c r="AR16" s="3" t="str">
        <f>Segments!$C$15</f>
        <v>Flocculation</v>
      </c>
      <c r="AS16" s="33">
        <v>1400</v>
      </c>
      <c r="AT16" s="33"/>
      <c r="AU16" s="33">
        <v>1.4</v>
      </c>
      <c r="AV16" s="33">
        <v>7.5</v>
      </c>
      <c r="AW16" s="35">
        <v>15</v>
      </c>
      <c r="AX16" s="28">
        <f>IF(Segments!$C$15="Not In Use",0, (IF(Segments!$F$15="Rectangular",Segments!$D$18*AT16-Segments!$D$19, IF(Segments!$C$15="Pipe",Segments!$D$18,Segments!$D$18*AT16))))</f>
        <v>0</v>
      </c>
      <c r="AY16" s="31">
        <f>IF(Segments!$C$4="Not In Use", 0, IF(AS16=0,0,AX16*AU16/AS16))</f>
        <v>0</v>
      </c>
      <c r="AZ16" s="19">
        <f>IF(AY16=0, 0,IF(Segments!$D$15="Chlorine", (AY16*EXP(0.071*AW16)-0.42)/2.94, IF(Segments!$D$15="Chlorine Dioxide", (AY16*EXP(0.072*AW16)+35.15)/21.25, IF(Segments!$D$15="Ozone", (AY16*EXP(0.068*AW16)-0.01)/0.47, IF(Segments!$D$15="Chloramines", (AY16*EXP(0.071*AW16)+410.7)/849.5, 0)))))</f>
        <v>0</v>
      </c>
      <c r="BA16" s="18">
        <f>IF(AY16=0, 0,IF(Segments!$D$15="Chlorine", AY16/(0.2828*AV16^2.69*AU16^0.15*0.933^(AW16-5)), IF(Segments!$D$15="Chlorine Dioxide", ((AY16*AW16^0.49)+0.18)/23.85, IF(Segments!$D$15="Ozone", (AY16*exp^(0.072*AW16)-0.01)/0.98, IF(Segments!$D$15="Chloramines", (AY16/(858.5-(24.3*AW16))), 0)))))</f>
        <v>0</v>
      </c>
      <c r="BB16" s="25">
        <f t="shared" ref="BB16:BB23" si="14">AZ16/4</f>
        <v>0</v>
      </c>
      <c r="BC16" s="19">
        <f t="shared" ref="BC16:BC23" si="15">BA16/3</f>
        <v>0</v>
      </c>
    </row>
    <row r="17" spans="1:55" ht="13.5" thickBot="1" x14ac:dyDescent="0.25">
      <c r="A17" s="80"/>
      <c r="B17" s="3" t="str">
        <f>Segments!$C$26</f>
        <v>Sedimentation</v>
      </c>
      <c r="C17" s="33">
        <v>1400</v>
      </c>
      <c r="D17" s="33">
        <v>12</v>
      </c>
      <c r="E17" s="33">
        <v>0</v>
      </c>
      <c r="F17" s="33">
        <v>6.9</v>
      </c>
      <c r="G17" s="35">
        <v>19</v>
      </c>
      <c r="H17" s="28">
        <f>IF(Segments!$C$26="Not In Use",0, (IF(Segments!$F$26="Rectangular",Segments!$D$29*D17-Segments!$D$30, IF(Segments!$C$26="Pipe",Segments!$D$29,Segments!$D$29*D17))))</f>
        <v>0</v>
      </c>
      <c r="I17" s="31">
        <f>IF(Segments!$C$4="Not In Use", 0, IF(C17=0,0,H17*E17/C17))</f>
        <v>0</v>
      </c>
      <c r="J17" s="19">
        <f>IF(I17=0, 0,IF(Segments!$D$26="Chlorine", (I17*EXP(0.071*G17)-0.42)/2.94, IF(Segments!$D$26="Chlorine Dioxide", (I17*EXP(0.072*G17)+35.15)/21.25, IF(Segments!$D$26="Ozone", (I17*EXP(0.068*G17)-0.01)/0.47, IF(Segments!$D$26="Chloramines", (I17*EXP(0.071*G17)+410.7)/849.5, 0)))))</f>
        <v>0</v>
      </c>
      <c r="K17" s="18">
        <f>IF(I17=0, 0,IF(Segments!$D$26="Chlorine", I17/(0.2828*F17^2.69*E17^0.15*0.933^(G17-5)), IF(Segments!$D$26="Chlorine Dioxide", ((I17*G17^0.49)+0.18)/23.85, IF(Segments!$D$26="Ozone",((I17*EXP(0.072*G17)-0.01)/0.98),IF(Segments!$D$26="Chloramines", (I17/(858.5-(24.3*G17))), 0)))))</f>
        <v>0</v>
      </c>
      <c r="L17" s="25">
        <f t="shared" si="8"/>
        <v>0</v>
      </c>
      <c r="M17" s="19">
        <f t="shared" si="9"/>
        <v>0</v>
      </c>
      <c r="N17" s="15"/>
      <c r="O17" s="80"/>
      <c r="P17" s="3" t="str">
        <f>Segments!$C$26</f>
        <v>Sedimentation</v>
      </c>
      <c r="Q17" s="33">
        <v>1400</v>
      </c>
      <c r="R17" s="33">
        <v>12</v>
      </c>
      <c r="S17" s="33">
        <v>0</v>
      </c>
      <c r="T17" s="33">
        <v>6.9</v>
      </c>
      <c r="U17" s="35">
        <v>19</v>
      </c>
      <c r="V17" s="28">
        <f>IF(Segments!$C$26="Not In Use",0, (IF(Segments!$F$26="Rectangular",Segments!$D$29*R17-Segments!$D$30, IF(Segments!$C$26="Pipe",Segments!$D$29,Segments!$D$29*R17))))</f>
        <v>0</v>
      </c>
      <c r="W17" s="31">
        <f>IF(Segments!$C$4="Not In Use", 0, IF(Q17=0,0,V17*S17/Q17))</f>
        <v>0</v>
      </c>
      <c r="X17" s="19">
        <f>IF(W17=0, 0,IF(Segments!$D$26="Chlorine", (W17*EXP(0.071*U17)-0.42)/2.94, IF(Segments!$D$26="Chlorine Dioxide", (W17*EXP(0.072*U17)+35.15)/21.25, IF(Segments!$D$26="Ozone", (W17*EXP(0.068*U17)-0.01)/0.47, IF(Segments!$D$26="Chloramines", (W17*EXP(0.071*U17)+410.7)/849.5, 0)))))</f>
        <v>0</v>
      </c>
      <c r="Y17" s="18">
        <f>IF(W17=0, 0,IF(Segments!$D$26="Chlorine", W17/(0.2828*T17^2.69*S17^0.15*0.933^(U17-5)), IF(Segments!$D$26="Chlorine Dioxide", ((W17*U17^0.49)+0.18)/23.85, IF(Segments!$D$26="Ozone",((W17*EXP(0.072*U17)-0.01)/0.98),IF(Segments!$D$26="Chloramines", (W17/(858.5-(24.3*U17))), 0)))))</f>
        <v>0</v>
      </c>
      <c r="Z17" s="25">
        <f t="shared" si="10"/>
        <v>0</v>
      </c>
      <c r="AA17" s="19">
        <f t="shared" si="11"/>
        <v>0</v>
      </c>
      <c r="AC17" s="80"/>
      <c r="AD17" s="3" t="str">
        <f>Segments!$C$26</f>
        <v>Sedimentation</v>
      </c>
      <c r="AE17" s="33"/>
      <c r="AF17" s="33"/>
      <c r="AG17" s="33"/>
      <c r="AH17" s="33"/>
      <c r="AI17" s="35"/>
      <c r="AJ17" s="28">
        <f>IF(Segments!$C$26="Not In Use",0, (IF(Segments!$F$26="Rectangular",Segments!$D$29*AF17-Segments!$D$30, IF(Segments!$C$26="Pipe",Segments!$D$29,Segments!$D$29*AF17))))</f>
        <v>0</v>
      </c>
      <c r="AK17" s="31">
        <f>IF(Segments!$C$4="Not In Use", 0, IF(AE17=0,0,AJ17*AG17/AE17))</f>
        <v>0</v>
      </c>
      <c r="AL17" s="19">
        <f>IF(AK17=0, 0,IF(Segments!$D$26="Chlorine", (AK17*EXP(0.071*AI17)-0.42)/2.94, IF(Segments!$D$26="Chlorine Dioxide", (AK17*EXP(0.072*AI17)+35.15)/21.25, IF(Segments!$D$26="Ozone", (AK17*EXP(0.068*AI17)-0.01)/0.47, IF(Segments!$D$26="Chloramines", (AK17*EXP(0.071*AI17)+410.7)/849.5, 0)))))</f>
        <v>0</v>
      </c>
      <c r="AM17" s="18">
        <f>IF(AK17=0, 0,IF(Segments!$D$26="Chlorine", AK17/(0.2828*AH17^2.69*AG17^0.15*0.933^(AI17-5)), IF(Segments!$D$26="Chlorine Dioxide", ((AK17*AI17^0.49)+0.18)/23.85, IF(Segments!$D$26="Ozone",((AK17*EXP(0.072*AI17)-0.01)/0.98),IF(Segments!$D$26="Chloramines", (AK17/(858.5-(24.3*AI17))), 0)))))</f>
        <v>0</v>
      </c>
      <c r="AN17" s="25">
        <f t="shared" si="12"/>
        <v>0</v>
      </c>
      <c r="AO17" s="19">
        <f t="shared" si="13"/>
        <v>0</v>
      </c>
      <c r="AQ17" s="80"/>
      <c r="AR17" s="3" t="str">
        <f>Segments!$C$26</f>
        <v>Sedimentation</v>
      </c>
      <c r="AS17" s="33"/>
      <c r="AT17" s="33"/>
      <c r="AU17" s="33"/>
      <c r="AV17" s="33"/>
      <c r="AW17" s="35"/>
      <c r="AX17" s="28">
        <f>IF(Segments!$C$26="Not In Use",0, (IF(Segments!$F$26="Rectangular",Segments!$D$29*AT17-Segments!$D$30, IF(Segments!$C$26="Pipe",Segments!$D$29,Segments!$D$29*AT17))))</f>
        <v>0</v>
      </c>
      <c r="AY17" s="31">
        <f>IF(Segments!$C$4="Not In Use", 0, IF(AS17=0,0,AX17*AU17/AS17))</f>
        <v>0</v>
      </c>
      <c r="AZ17" s="19">
        <f>IF(AY17=0, 0,IF(Segments!$D$26="Chlorine", (AY17*EXP(0.071*AW17)-0.42)/2.94, IF(Segments!$D$26="Chlorine Dioxide", (AY17*EXP(0.072*AW17)+35.15)/21.25, IF(Segments!$D$26="Ozone", (AY17*EXP(0.068*AW17)-0.01)/0.47, IF(Segments!$D$26="Chloramines", (AY17*EXP(0.071*AW17)+410.7)/849.5, 0)))))</f>
        <v>0</v>
      </c>
      <c r="BA17" s="18">
        <f>IF(AY17=0, 0,IF(Segments!$D$26="Chlorine", AY17/(0.2828*AV17^2.69*AU17^0.15*0.933^(AW17-5)), IF(Segments!$D$26="Chlorine Dioxide", ((AY17*AW17^0.49)+0.18)/23.85, IF(Segments!$D$26="Ozone",((AY17*EXP(0.072*AW17)-0.01)/0.98),IF(Segments!$D$26="Chloramines", (AY17/(858.5-(24.3*AW17))), 0)))))</f>
        <v>0</v>
      </c>
      <c r="BB17" s="25">
        <f t="shared" si="14"/>
        <v>0</v>
      </c>
      <c r="BC17" s="19">
        <f t="shared" si="15"/>
        <v>0</v>
      </c>
    </row>
    <row r="18" spans="1:55" ht="13.5" thickBot="1" x14ac:dyDescent="0.25">
      <c r="A18" s="80"/>
      <c r="B18" s="3" t="str">
        <f>Segments!$C$39</f>
        <v>Filtration</v>
      </c>
      <c r="C18" s="33">
        <v>1400</v>
      </c>
      <c r="D18" s="33">
        <v>5</v>
      </c>
      <c r="E18" s="33">
        <v>0.5</v>
      </c>
      <c r="F18" s="33">
        <v>6.9</v>
      </c>
      <c r="G18" s="35">
        <v>19</v>
      </c>
      <c r="H18" s="28">
        <f>IF(Segments!$C$39="Not In Use",0, (IF(Segments!$F$39="Rectangular",Segments!$D$42*D18-Segments!$D$43, IF(Segments!$C$39="Pipe",Segments!$D$42,Segments!$D$42*D18))))</f>
        <v>13669.7</v>
      </c>
      <c r="I18" s="31">
        <f>IF(Segments!$C$4="Not In Use", 0, IF(C18=0,0,H18*E18/C18))</f>
        <v>4.8820357142857143</v>
      </c>
      <c r="J18" s="19">
        <f>IF(I18=0, 0,IF(Segments!$D$39="Chlorine", (I18*EXP(0.071*G18)-0.42)/2.94, IF(Segments!$D$39="Chlorine Dioxide", (I18*EXP(0.072*G18)+35.15)/21.25, IF(Segments!$D$39="Ozone", (I18*EXP(0.068*G18)-0.01)/0.47, IF(Segments!$D$39="Chloramines", (I18*EXP(0.071*G18)+410.7)/849.5, 0)))))</f>
        <v>6.2562131053608159</v>
      </c>
      <c r="K18" s="18">
        <f>IF(I18=0, 0,IF(Segments!$D$39="Chlorine", I18/(0.2828*F18^2.69*E18^0.15*0.933^(G18-5)), IF(Segments!$D$39="Chlorine Dioxide", ((I18*G18^0.49)+0.18)/23.85, IF(Segments!$D$39="Ozone", (I18*EXP(0.072*G18)-0.01)/0.98, IF(Segments!$D$39="Chloramines", (I18/(858.5-(24.3*G18))), 0)))))</f>
        <v>0.28017474145721827</v>
      </c>
      <c r="L18" s="25">
        <f t="shared" si="8"/>
        <v>1.564053276340204</v>
      </c>
      <c r="M18" s="19">
        <f t="shared" si="9"/>
        <v>9.3391580485739423E-2</v>
      </c>
      <c r="N18" s="15"/>
      <c r="O18" s="80"/>
      <c r="P18" s="3" t="str">
        <f>Segments!$C$39</f>
        <v>Filtration</v>
      </c>
      <c r="Q18" s="33">
        <v>1400</v>
      </c>
      <c r="R18" s="33">
        <v>5</v>
      </c>
      <c r="S18" s="33">
        <v>0.5</v>
      </c>
      <c r="T18" s="33">
        <v>6.9</v>
      </c>
      <c r="U18" s="35">
        <v>19</v>
      </c>
      <c r="V18" s="28">
        <f>IF(Segments!$C$39="Not In Use",0, (IF(Segments!$F$39="Rectangular",Segments!$D$42*R18-Segments!$D$43, IF(Segments!$C$39="Pipe",Segments!$D$42,Segments!$D$42*R18))))</f>
        <v>13669.7</v>
      </c>
      <c r="W18" s="31">
        <f>IF(Segments!$C$4="Not In Use", 0, IF(Q18=0,0,V18*S18/Q18))</f>
        <v>4.8820357142857143</v>
      </c>
      <c r="X18" s="19">
        <f>IF(W18=0, 0,IF(Segments!$D$39="Chlorine", (W18*EXP(0.071*U18)-0.42)/2.94, IF(Segments!$D$39="Chlorine Dioxide", (W18*EXP(0.072*U18)+35.15)/21.25, IF(Segments!$D$39="Ozone", (W18*EXP(0.068*U18)-0.01)/0.47, IF(Segments!$D$39="Chloramines", (W18*EXP(0.071*U18)+410.7)/849.5, 0)))))</f>
        <v>6.2562131053608159</v>
      </c>
      <c r="Y18" s="18">
        <f>IF(W18=0, 0,IF(Segments!$D$39="Chlorine", W18/(0.2828*T18^2.69*S18^0.15*0.933^(U18-5)), IF(Segments!$D$39="Chlorine Dioxide", ((W18*U18^0.49)+0.18)/23.85, IF(Segments!$D$39="Ozone", (W18*EXP(0.072*U18)-0.01)/0.98, IF(Segments!$D$39="Chloramines", (W18/(858.5-(24.3*U18))), 0)))))</f>
        <v>0.28017474145721827</v>
      </c>
      <c r="Z18" s="25">
        <f t="shared" si="10"/>
        <v>1.564053276340204</v>
      </c>
      <c r="AA18" s="19">
        <f t="shared" si="11"/>
        <v>9.3391580485739423E-2</v>
      </c>
      <c r="AC18" s="80"/>
      <c r="AD18" s="3" t="str">
        <f>Segments!$C$39</f>
        <v>Filtration</v>
      </c>
      <c r="AE18" s="33"/>
      <c r="AF18" s="33"/>
      <c r="AG18" s="33"/>
      <c r="AH18" s="33"/>
      <c r="AI18" s="35"/>
      <c r="AJ18" s="28">
        <f>IF(Segments!$C$39="Not In Use",0, (IF(Segments!$F$39="Rectangular",Segments!$D$42*AF18-Segments!$D$43, IF(Segments!$C$39="Pipe",Segments!$D$42,Segments!$D$42*AF18))))</f>
        <v>0</v>
      </c>
      <c r="AK18" s="31">
        <f>IF(Segments!$C$4="Not In Use", 0, IF(AE18=0,0,AJ18*AG18/AE18))</f>
        <v>0</v>
      </c>
      <c r="AL18" s="19">
        <f>IF(AK18=0, 0,IF(Segments!$D$39="Chlorine", (AK18*EXP(0.071*AI18)-0.42)/2.94, IF(Segments!$D$39="Chlorine Dioxide", (AK18*EXP(0.072*AI18)+35.15)/21.25, IF(Segments!$D$39="Ozone", (AK18*EXP(0.068*AI18)-0.01)/0.47, IF(Segments!$D$39="Chloramines", (AK18*EXP(0.071*AI18)+410.7)/849.5, 0)))))</f>
        <v>0</v>
      </c>
      <c r="AM18" s="18">
        <f>IF(AK18=0, 0,IF(Segments!$D$39="Chlorine", AK18/(0.2828*AH18^2.69*AG18^0.15*0.933^(AI18-5)), IF(Segments!$D$39="Chlorine Dioxide", ((AK18*AI18^0.49)+0.18)/23.85, IF(Segments!$D$39="Ozone", (AK18*EXP(0.072*AI18)-0.01)/0.98, IF(Segments!$D$39="Chloramines", (AK18/(858.5-(24.3*AI18))), 0)))))</f>
        <v>0</v>
      </c>
      <c r="AN18" s="25">
        <f t="shared" si="12"/>
        <v>0</v>
      </c>
      <c r="AO18" s="19">
        <f t="shared" si="13"/>
        <v>0</v>
      </c>
      <c r="AQ18" s="80"/>
      <c r="AR18" s="3" t="str">
        <f>Segments!$C$39</f>
        <v>Filtration</v>
      </c>
      <c r="AS18" s="33"/>
      <c r="AT18" s="33"/>
      <c r="AU18" s="33"/>
      <c r="AV18" s="33"/>
      <c r="AW18" s="35"/>
      <c r="AX18" s="28">
        <f>IF(Segments!$C$39="Not In Use",0, (IF(Segments!$F$39="Rectangular",Segments!$D$42*AT18-Segments!$D$43, IF(Segments!$C$39="Pipe",Segments!$D$42,Segments!$D$42*AT18))))</f>
        <v>0</v>
      </c>
      <c r="AY18" s="31">
        <f>IF(Segments!$C$4="Not In Use", 0, IF(AS18=0,0,AX18*AU18/AS18))</f>
        <v>0</v>
      </c>
      <c r="AZ18" s="19">
        <f>IF(AY18=0, 0,IF(Segments!$D$39="Chlorine", (AY18*EXP(0.071*AW18)-0.42)/2.94, IF(Segments!$D$39="Chlorine Dioxide", (AY18*EXP(0.072*AW18)+35.15)/21.25, IF(Segments!$D$39="Ozone", (AY18*EXP(0.068*AW18)-0.01)/0.47, IF(Segments!$D$39="Chloramines", (AY18*EXP(0.071*AW18)+410.7)/849.5, 0)))))</f>
        <v>0</v>
      </c>
      <c r="BA18" s="18">
        <f>IF(AY18=0, 0,IF(Segments!$D$39="Chlorine", AY18/(0.2828*AV18^2.69*AU18^0.15*0.933^(AW18-5)), IF(Segments!$D$39="Chlorine Dioxide", ((AY18*AW18^0.49)+0.18)/23.85, IF(Segments!$D$39="Ozone", (AY18*EXP(0.072*AW18)-0.01)/0.98, IF(Segments!$D$39="Chloramines", (AY18/(858.5-(24.3*AW18))), 0)))))</f>
        <v>0</v>
      </c>
      <c r="BB18" s="25">
        <f t="shared" si="14"/>
        <v>0</v>
      </c>
      <c r="BC18" s="19">
        <f t="shared" si="15"/>
        <v>0</v>
      </c>
    </row>
    <row r="19" spans="1:55" ht="13.5" thickBot="1" x14ac:dyDescent="0.25">
      <c r="A19" s="80"/>
      <c r="B19" s="3" t="str">
        <f>Segments!$C$50</f>
        <v>Clearwell</v>
      </c>
      <c r="C19" s="33">
        <v>1400</v>
      </c>
      <c r="D19" s="33">
        <v>10</v>
      </c>
      <c r="E19" s="33">
        <v>1.5</v>
      </c>
      <c r="F19" s="33">
        <v>7</v>
      </c>
      <c r="G19" s="35">
        <v>19</v>
      </c>
      <c r="H19" s="28">
        <f>IF(Segments!$C$50="Not In Use",0, (IF(Segments!$F$50="Rectangular",Segments!$D$53*D19-Segments!$D$54, IF(Segments!$C$50="Pipe",Segments!$D$53,Segments!$D$53*D19))))</f>
        <v>99184.800000000017</v>
      </c>
      <c r="I19" s="31">
        <f>IF(Segments!$C$4="Not In Use", 0, IF(C19=0,0,H19*E19/C19))</f>
        <v>106.26942857142858</v>
      </c>
      <c r="J19" s="19">
        <f>IF(I19=0, 0,IF(Segments!$D$50="Chlorine", (I19*EXP(0.071*G19)-0.42)/2.94, IF(Segments!$D$50="Chlorine Dioxide", (I19*EXP(0.072*G19)+35.15)/21.25, IF(Segments!$D$50="Ozone", (I19*EXP(0.068*G19)-0.01)/0.47, IF(Segments!$D$50="Chloramines", (I19*EXP(0.071*G19)+410.7)/849.5, 0)))))</f>
        <v>139.14853244625934</v>
      </c>
      <c r="K19" s="18">
        <f>IF(I19=0, 0,IF(Segments!$D$50="Chlorine", I19/(0.2828*F19^2.69*E19^0.15*0.933^(G19-5)), IF(Segments!$D$50="Chlorine Dioxide", ((I19*G19^0.49)+0.18)/23.85, IF(Segments!$D$50="Ozone", (I19*EXP(0.072*G19)-0.01)/0.98, IF(Segments!$D$50="Chloramines", (I19/(858.5-(24.3*G19))), 0)))))</f>
        <v>4.9757495366863838</v>
      </c>
      <c r="L19" s="25">
        <f t="shared" si="8"/>
        <v>34.787133111564835</v>
      </c>
      <c r="M19" s="19">
        <f t="shared" si="9"/>
        <v>1.6585831788954613</v>
      </c>
      <c r="N19" s="15"/>
      <c r="O19" s="80"/>
      <c r="P19" s="3" t="str">
        <f>Segments!$C$50</f>
        <v>Clearwell</v>
      </c>
      <c r="Q19" s="33">
        <v>1400</v>
      </c>
      <c r="R19" s="33">
        <v>10</v>
      </c>
      <c r="S19" s="33">
        <v>1.5</v>
      </c>
      <c r="T19" s="33">
        <v>7</v>
      </c>
      <c r="U19" s="35">
        <v>19</v>
      </c>
      <c r="V19" s="28">
        <f>IF(Segments!$C$50="Not In Use",0, (IF(Segments!$F$50="Rectangular",Segments!$D$53*R19-Segments!$D$54, IF(Segments!$C$50="Pipe",Segments!$D$53,Segments!$D$53*R19))))</f>
        <v>99184.800000000017</v>
      </c>
      <c r="W19" s="31">
        <f>IF(Segments!$C$4="Not In Use", 0, IF(Q19=0,0,V19*S19/Q19))</f>
        <v>106.26942857142858</v>
      </c>
      <c r="X19" s="19">
        <f>IF(W19=0, 0,IF(Segments!$D$50="Chlorine", (W19*EXP(0.071*U19)-0.42)/2.94, IF(Segments!$D$50="Chlorine Dioxide", (W19*EXP(0.072*U19)+35.15)/21.25, IF(Segments!$D$50="Ozone", (W19*EXP(0.068*U19)-0.01)/0.47, IF(Segments!$D$50="Chloramines", (W19*EXP(0.071*U19)+410.7)/849.5, 0)))))</f>
        <v>139.14853244625934</v>
      </c>
      <c r="Y19" s="18">
        <f>IF(W19=0, 0,IF(Segments!$D$50="Chlorine", W19/(0.2828*T19^2.69*S19^0.15*0.933^(U19-5)), IF(Segments!$D$50="Chlorine Dioxide", ((W19*U19^0.49)+0.18)/23.85, IF(Segments!$D$50="Ozone", (W19*EXP(0.072*U19)-0.01)/0.98, IF(Segments!$D$50="Chloramines", (W19/(858.5-(24.3*U19))), 0)))))</f>
        <v>4.9757495366863838</v>
      </c>
      <c r="Z19" s="25">
        <f t="shared" si="10"/>
        <v>34.787133111564835</v>
      </c>
      <c r="AA19" s="19">
        <f t="shared" si="11"/>
        <v>1.6585831788954613</v>
      </c>
      <c r="AC19" s="80"/>
      <c r="AD19" s="3" t="str">
        <f>Segments!$C$50</f>
        <v>Clearwell</v>
      </c>
      <c r="AE19" s="33"/>
      <c r="AF19" s="33"/>
      <c r="AG19" s="33"/>
      <c r="AH19" s="33"/>
      <c r="AI19" s="35"/>
      <c r="AJ19" s="28">
        <f>IF(Segments!$C$50="Not In Use",0, (IF(Segments!$F$50="Rectangular",Segments!$D$53*AF19-Segments!$D$54, IF(Segments!$C$50="Pipe",Segments!$D$53,Segments!$D$53*AF19))))</f>
        <v>0</v>
      </c>
      <c r="AK19" s="31">
        <f>IF(Segments!$C$4="Not In Use", 0, IF(AE19=0,0,AJ19*AG19/AE19))</f>
        <v>0</v>
      </c>
      <c r="AL19" s="19">
        <f>IF(AK19=0, 0,IF(Segments!$D$50="Chlorine", (AK19*EXP(0.071*AI19)-0.42)/2.94, IF(Segments!$D$50="Chlorine Dioxide", (AK19*EXP(0.072*AI19)+35.15)/21.25, IF(Segments!$D$50="Ozone", (AK19*EXP(0.068*AI19)-0.01)/0.47, IF(Segments!$D$50="Chloramines", (AK19*EXP(0.071*AI19)+410.7)/849.5, 0)))))</f>
        <v>0</v>
      </c>
      <c r="AM19" s="18">
        <f>IF(AK19=0, 0,IF(Segments!$D$50="Chlorine", AK19/(0.2828*AH19^2.69*AG19^0.15*0.933^(AI19-5)), IF(Segments!$D$50="Chlorine Dioxide", ((AK19*AI19^0.49)+0.18)/23.85, IF(Segments!$D$50="Ozone", (AK19*EXP(0.072*AI19)-0.01)/0.98, IF(Segments!$D$50="Chloramines", (AK19/(858.5-(24.3*AI19))), 0)))))</f>
        <v>0</v>
      </c>
      <c r="AN19" s="25">
        <f t="shared" si="12"/>
        <v>0</v>
      </c>
      <c r="AO19" s="19">
        <f t="shared" si="13"/>
        <v>0</v>
      </c>
      <c r="AQ19" s="80"/>
      <c r="AR19" s="3" t="str">
        <f>Segments!$C$50</f>
        <v>Clearwell</v>
      </c>
      <c r="AS19" s="33"/>
      <c r="AT19" s="33"/>
      <c r="AU19" s="33"/>
      <c r="AV19" s="33"/>
      <c r="AW19" s="35"/>
      <c r="AX19" s="28">
        <f>IF(Segments!$C$50="Not In Use",0, (IF(Segments!$F$50="Rectangular",Segments!$D$53*AT19-Segments!$D$54, IF(Segments!$C$50="Pipe",Segments!$D$53,Segments!$D$53*AT19))))</f>
        <v>0</v>
      </c>
      <c r="AY19" s="31">
        <f>IF(Segments!$C$4="Not In Use", 0, IF(AS19=0,0,AX19*AU19/AS19))</f>
        <v>0</v>
      </c>
      <c r="AZ19" s="19">
        <f>IF(AY19=0, 0,IF(Segments!$D$50="Chlorine", (AY19*EXP(0.071*AW19)-0.42)/2.94, IF(Segments!$D$50="Chlorine Dioxide", (AY19*EXP(0.072*AW19)+35.15)/21.25, IF(Segments!$D$50="Ozone", (AY19*EXP(0.068*AW19)-0.01)/0.47, IF(Segments!$D$50="Chloramines", (AY19*EXP(0.071*AW19)+410.7)/849.5, 0)))))</f>
        <v>0</v>
      </c>
      <c r="BA19" s="18">
        <f>IF(AY19=0, 0,IF(Segments!$D$50="Chlorine", AY19/(0.2828*AV19^2.69*AU19^0.15*0.933^(AW19-5)), IF(Segments!$D$50="Chlorine Dioxide", ((AY19*AW19^0.49)+0.18)/23.85, IF(Segments!$D$50="Ozone", (AY19*EXP(0.072*AW19)-0.01)/0.98, IF(Segments!$D$50="Chloramines", (AY19/(858.5-(24.3*AW19))), 0)))))</f>
        <v>0</v>
      </c>
      <c r="BB19" s="25">
        <f t="shared" si="14"/>
        <v>0</v>
      </c>
      <c r="BC19" s="19">
        <f t="shared" si="15"/>
        <v>0</v>
      </c>
    </row>
    <row r="20" spans="1:55" ht="13.5" thickBot="1" x14ac:dyDescent="0.25">
      <c r="A20" s="80"/>
      <c r="B20" s="3" t="str">
        <f>Segments!$C$61</f>
        <v>Not In Use</v>
      </c>
      <c r="C20" s="33"/>
      <c r="D20" s="33"/>
      <c r="E20" s="33"/>
      <c r="F20" s="33"/>
      <c r="G20" s="35"/>
      <c r="H20" s="28">
        <f>IF(Segments!$C$61="Not In Use",0, (IF(Segments!$F$61="Rectangular",Segments!$D$64*D20-Segments!$D$65, IF(Segments!$C$61="Pipe",Segments!$D$64,Segments!$D$64*D20))))</f>
        <v>0</v>
      </c>
      <c r="I20" s="31">
        <f>IF(Segments!$C$4="Not In Use", 0, IF(C20=0,0,H20*E20/C20))</f>
        <v>0</v>
      </c>
      <c r="J20" s="19">
        <f>IF(I20=0, 0,IF(Segments!$D$61="Chlorine", (I20*EXP(0.071*G20)-0.42)/2.94, IF(Segments!$D$61="Chlorine Dioxide", (I20*EXP(0.072*G20)+35.15)/21.25, IF(Segments!$D$61="Ozone", (I20*EXP(0.068*G20)-0.01)/0.47, IF(Segments!$D$61="Chloramines", (I20*EXP(0.071*G20)+410.7)/849.5, 0)))))</f>
        <v>0</v>
      </c>
      <c r="K20" s="18">
        <f>IF(I20=0, 0,IF(Segments!$D$61="Chlorine", I20/(0.2828*F20^2.69*E20^0.15*0.933^(G20-5)), IF(Segments!$D$61="Chlorine Dioxide", ((I20*G20^0.49)+0.18)/23.85, IF(Segments!$D$61="Ozone", (I20*EXP(0.072*G20)-0.01)/0.98, IF(Segments!$D$61="Chloramines", (I20/(858.5-(24.3*G20))), 0)))))</f>
        <v>0</v>
      </c>
      <c r="L20" s="25">
        <f t="shared" si="8"/>
        <v>0</v>
      </c>
      <c r="M20" s="19">
        <f t="shared" si="9"/>
        <v>0</v>
      </c>
      <c r="N20" s="15"/>
      <c r="O20" s="80"/>
      <c r="P20" s="3" t="str">
        <f>Segments!$C$61</f>
        <v>Not In Use</v>
      </c>
      <c r="Q20" s="33"/>
      <c r="R20" s="33"/>
      <c r="S20" s="33"/>
      <c r="T20" s="33"/>
      <c r="U20" s="35"/>
      <c r="V20" s="28">
        <f>IF(Segments!$C$61="Not In Use",0, (IF(Segments!$F$61="Rectangular",Segments!$D$64*R20-Segments!$D$65, IF(Segments!$C$61="Pipe",Segments!$D$64,Segments!$D$64*R20))))</f>
        <v>0</v>
      </c>
      <c r="W20" s="31">
        <f>IF(Segments!$C$4="Not In Use", 0, IF(Q20=0,0,V20*S20/Q20))</f>
        <v>0</v>
      </c>
      <c r="X20" s="19">
        <f>IF(W20=0, 0,IF(Segments!$D$61="Chlorine", (W20*EXP(0.071*U20)-0.42)/2.94, IF(Segments!$D$61="Chlorine Dioxide", (W20*EXP(0.072*U20)+35.15)/21.25, IF(Segments!$D$61="Ozone", (W20*EXP(0.068*U20)-0.01)/0.47, IF(Segments!$D$61="Chloramines", (W20*EXP(0.071*U20)+410.7)/849.5, 0)))))</f>
        <v>0</v>
      </c>
      <c r="Y20" s="18">
        <f>IF(W20=0, 0,IF(Segments!$D$61="Chlorine", W20/(0.2828*T20^2.69*S20^0.15*0.933^(U20-5)), IF(Segments!$D$61="Chlorine Dioxide", ((W20*U20^0.49)+0.18)/23.85, IF(Segments!$D$61="Ozone", (W20*EXP(0.072*U20)-0.01)/0.98, IF(Segments!$D$61="Chloramines", (W20/(858.5-(24.3*U20))), 0)))))</f>
        <v>0</v>
      </c>
      <c r="Z20" s="25">
        <f t="shared" si="10"/>
        <v>0</v>
      </c>
      <c r="AA20" s="19">
        <f t="shared" si="11"/>
        <v>0</v>
      </c>
      <c r="AC20" s="80"/>
      <c r="AD20" s="3" t="str">
        <f>Segments!$C$61</f>
        <v>Not In Use</v>
      </c>
      <c r="AE20" s="33"/>
      <c r="AF20" s="33"/>
      <c r="AG20" s="33"/>
      <c r="AH20" s="33"/>
      <c r="AI20" s="35"/>
      <c r="AJ20" s="28">
        <f>IF(Segments!$C$61="Not In Use",0, (IF(Segments!$F$61="Rectangular",Segments!$D$64*AF20-Segments!$D$65, IF(Segments!$C$61="Pipe",Segments!$D$64,Segments!$D$64*AF20))))</f>
        <v>0</v>
      </c>
      <c r="AK20" s="31">
        <f>IF(Segments!$C$4="Not In Use", 0, IF(AE20=0,0,AJ20*AG20/AE20))</f>
        <v>0</v>
      </c>
      <c r="AL20" s="19">
        <f>IF(AK20=0, 0,IF(Segments!$D$61="Chlorine", (AK20*EXP(0.071*AI20)-0.42)/2.94, IF(Segments!$D$61="Chlorine Dioxide", (AK20*EXP(0.072*AI20)+35.15)/21.25, IF(Segments!$D$61="Ozone", (AK20*EXP(0.068*AI20)-0.01)/0.47, IF(Segments!$D$61="Chloramines", (AK20*EXP(0.071*AI20)+410.7)/849.5, 0)))))</f>
        <v>0</v>
      </c>
      <c r="AM20" s="18">
        <f>IF(AK20=0, 0,IF(Segments!$D$61="Chlorine", AK20/(0.2828*AH20^2.69*AG20^0.15*0.933^(AI20-5)), IF(Segments!$D$61="Chlorine Dioxide", ((AK20*AI20^0.49)+0.18)/23.85, IF(Segments!$D$61="Ozone", (AK20*EXP(0.072*AI20)-0.01)/0.98, IF(Segments!$D$61="Chloramines", (AK20/(858.5-(24.3*AI20))), 0)))))</f>
        <v>0</v>
      </c>
      <c r="AN20" s="25">
        <f t="shared" si="12"/>
        <v>0</v>
      </c>
      <c r="AO20" s="19">
        <f t="shared" si="13"/>
        <v>0</v>
      </c>
      <c r="AQ20" s="80"/>
      <c r="AR20" s="3" t="str">
        <f>Segments!$C$61</f>
        <v>Not In Use</v>
      </c>
      <c r="AS20" s="33"/>
      <c r="AT20" s="33"/>
      <c r="AU20" s="33"/>
      <c r="AV20" s="33"/>
      <c r="AW20" s="35"/>
      <c r="AX20" s="28">
        <f>IF(Segments!$C$61="Not In Use",0, (IF(Segments!$F$61="Rectangular",Segments!$D$64*AT20-Segments!$D$65, IF(Segments!$C$61="Pipe",Segments!$D$64,Segments!$D$64*AT20))))</f>
        <v>0</v>
      </c>
      <c r="AY20" s="31">
        <f>IF(Segments!$C$4="Not In Use", 0, IF(AS20=0,0,AX20*AU20/AS20))</f>
        <v>0</v>
      </c>
      <c r="AZ20" s="19">
        <f>IF(AY20=0, 0,IF(Segments!$D$61="Chlorine", (AY20*EXP(0.071*AW20)-0.42)/2.94, IF(Segments!$D$61="Chlorine Dioxide", (AY20*EXP(0.072*AW20)+35.15)/21.25, IF(Segments!$D$61="Ozone", (AY20*EXP(0.068*AW20)-0.01)/0.47, IF(Segments!$D$61="Chloramines", (AY20*EXP(0.071*AW20)+410.7)/849.5, 0)))))</f>
        <v>0</v>
      </c>
      <c r="BA20" s="18">
        <f>IF(AY20=0, 0,IF(Segments!$D$61="Chlorine", AY20/(0.2828*AV20^2.69*AU20^0.15*0.933^(AW20-5)), IF(Segments!$D$61="Chlorine Dioxide", ((AY20*AW20^0.49)+0.18)/23.85, IF(Segments!$D$61="Ozone", (AY20*EXP(0.072*AW20)-0.01)/0.98, IF(Segments!$D$61="Chloramines", (AY20/(858.5-(24.3*AW20))), 0)))))</f>
        <v>0</v>
      </c>
      <c r="BB20" s="25">
        <f t="shared" si="14"/>
        <v>0</v>
      </c>
      <c r="BC20" s="19">
        <f t="shared" si="15"/>
        <v>0</v>
      </c>
    </row>
    <row r="21" spans="1:55" ht="13.5" thickBot="1" x14ac:dyDescent="0.25">
      <c r="A21" s="80"/>
      <c r="B21" s="3" t="str">
        <f>Segments!$C$74</f>
        <v>Not In Use</v>
      </c>
      <c r="C21" s="33"/>
      <c r="D21" s="33"/>
      <c r="E21" s="33"/>
      <c r="F21" s="33"/>
      <c r="G21" s="35"/>
      <c r="H21" s="28">
        <f>IF(Segments!$C$74="Not In Use",0, (IF(Segments!$F$74="Rectangular",Segments!$D$77*D21-Segments!$D$78, IF(Segments!$C$74="Pipe",Segments!$D$77,Segments!$D$77*D21))))</f>
        <v>0</v>
      </c>
      <c r="I21" s="31">
        <f>IF(Segments!$C$4="Not In Use", 0, IF(C21=0,0,H21*E21/C21))</f>
        <v>0</v>
      </c>
      <c r="J21" s="19">
        <f>IF(I21=0, 0,IF(Segments!$D$74="Chlorine", (I21*EXP(0.071*G21)-0.42)/2.94, IF(Segments!$D$74="Chlorine Dioxide", (I21*EXP(0.072*G21)+35.15)/21.25, IF(Segments!$D$74="Ozone", (I21*EXP(0.068*G21)-0.01)/0.47, IF(Segments!$D$74="Chloramines", (I21*EXP(0.071*G21)+410.7)/849.5, 0)))))</f>
        <v>0</v>
      </c>
      <c r="K21" s="18">
        <f>IF(I21=0, 0,IF(Segments!$D$74="Chlorine", I21/(0.2828*F21^2.69*E21^0.15*0.933^(G21-5)), IF(Segments!$D$74="Chlorine Dioxide", ((I21*G21^0.49)+0.18)/23.85, IF(Segments!$D$74="Ozone", (I21*EXP(0.072*G21)-0.01)/0.98, IF(Segments!$D$74="Chloramines", (I21/(858.5-(24.3*G21))), 0)))))</f>
        <v>0</v>
      </c>
      <c r="L21" s="25">
        <f t="shared" si="8"/>
        <v>0</v>
      </c>
      <c r="M21" s="19">
        <f t="shared" si="9"/>
        <v>0</v>
      </c>
      <c r="N21" s="15"/>
      <c r="O21" s="80"/>
      <c r="P21" s="3" t="str">
        <f>Segments!$C$74</f>
        <v>Not In Use</v>
      </c>
      <c r="Q21" s="33"/>
      <c r="R21" s="33"/>
      <c r="S21" s="33"/>
      <c r="T21" s="33"/>
      <c r="U21" s="35"/>
      <c r="V21" s="28">
        <f>IF(Segments!$C$74="Not In Use",0, (IF(Segments!$F$74="Rectangular",Segments!$D$77*R21-Segments!$D$78, IF(Segments!$C$74="Pipe",Segments!$D$77,Segments!$D$77*R21))))</f>
        <v>0</v>
      </c>
      <c r="W21" s="31">
        <f>IF(Segments!$C$4="Not In Use", 0, IF(Q21=0,0,V21*S21/Q21))</f>
        <v>0</v>
      </c>
      <c r="X21" s="19">
        <f>IF(W21=0, 0,IF(Segments!$D$74="Chlorine", (W21*EXP(0.071*U21)-0.42)/2.94, IF(Segments!$D$74="Chlorine Dioxide", (W21*EXP(0.072*U21)+35.15)/21.25, IF(Segments!$D$74="Ozone", (W21*EXP(0.068*U21)-0.01)/0.47, IF(Segments!$D$74="Chloramines", (W21*EXP(0.071*U21)+410.7)/849.5, 0)))))</f>
        <v>0</v>
      </c>
      <c r="Y21" s="18">
        <f>IF(W21=0, 0,IF(Segments!$D$74="Chlorine", W21/(0.2828*T21^2.69*S21^0.15*0.933^(U21-5)), IF(Segments!$D$74="Chlorine Dioxide", ((W21*U21^0.49)+0.18)/23.85, IF(Segments!$D$74="Ozone", (W21*EXP(0.072*U21)-0.01)/0.98, IF(Segments!$D$74="Chloramines", (W21/(858.5-(24.3*U21))), 0)))))</f>
        <v>0</v>
      </c>
      <c r="Z21" s="25">
        <f t="shared" si="10"/>
        <v>0</v>
      </c>
      <c r="AA21" s="19">
        <f t="shared" si="11"/>
        <v>0</v>
      </c>
      <c r="AC21" s="80"/>
      <c r="AD21" s="3" t="str">
        <f>Segments!$C$74</f>
        <v>Not In Use</v>
      </c>
      <c r="AE21" s="33"/>
      <c r="AF21" s="33"/>
      <c r="AG21" s="33"/>
      <c r="AH21" s="33"/>
      <c r="AI21" s="35"/>
      <c r="AJ21" s="28">
        <f>IF(Segments!$C$74="Not In Use",0, (IF(Segments!$F$74="Rectangular",Segments!$D$77*AF21-Segments!$D$78, IF(Segments!$C$74="Pipe",Segments!$D$77,Segments!$D$77*AF21))))</f>
        <v>0</v>
      </c>
      <c r="AK21" s="31">
        <f>IF(Segments!$C$4="Not In Use", 0, IF(AE21=0,0,AJ21*AG21/AE21))</f>
        <v>0</v>
      </c>
      <c r="AL21" s="19">
        <f>IF(AK21=0, 0,IF(Segments!$D$74="Chlorine", (AK21*EXP(0.071*AI21)-0.42)/2.94, IF(Segments!$D$74="Chlorine Dioxide", (AK21*EXP(0.072*AI21)+35.15)/21.25, IF(Segments!$D$74="Ozone", (AK21*EXP(0.068*AI21)-0.01)/0.47, IF(Segments!$D$74="Chloramines", (AK21*EXP(0.071*AI21)+410.7)/849.5, 0)))))</f>
        <v>0</v>
      </c>
      <c r="AM21" s="18">
        <f>IF(AK21=0, 0,IF(Segments!$D$74="Chlorine", AK21/(0.2828*AH21^2.69*AG21^0.15*0.933^(AI21-5)), IF(Segments!$D$74="Chlorine Dioxide", ((AK21*AI21^0.49)+0.18)/23.85, IF(Segments!$D$74="Ozone", (AK21*EXP(0.072*AI21)-0.01)/0.98, IF(Segments!$D$74="Chloramines", (AK21/(858.5-(24.3*AI21))), 0)))))</f>
        <v>0</v>
      </c>
      <c r="AN21" s="25">
        <f t="shared" si="12"/>
        <v>0</v>
      </c>
      <c r="AO21" s="19">
        <f t="shared" si="13"/>
        <v>0</v>
      </c>
      <c r="AQ21" s="80"/>
      <c r="AR21" s="3" t="str">
        <f>Segments!$C$74</f>
        <v>Not In Use</v>
      </c>
      <c r="AS21" s="33"/>
      <c r="AT21" s="33"/>
      <c r="AU21" s="33"/>
      <c r="AV21" s="33"/>
      <c r="AW21" s="35"/>
      <c r="AX21" s="28">
        <f>IF(Segments!$C$74="Not In Use",0, (IF(Segments!$F$74="Rectangular",Segments!$D$77*AT21-Segments!$D$78, IF(Segments!$C$74="Pipe",Segments!$D$77,Segments!$D$77*AT21))))</f>
        <v>0</v>
      </c>
      <c r="AY21" s="31">
        <f>IF(Segments!$C$4="Not In Use", 0, IF(AS21=0,0,AX21*AU21/AS21))</f>
        <v>0</v>
      </c>
      <c r="AZ21" s="19">
        <f>IF(AY21=0, 0,IF(Segments!$D$74="Chlorine", (AY21*EXP(0.071*AW21)-0.42)/2.94, IF(Segments!$D$74="Chlorine Dioxide", (AY21*EXP(0.072*AW21)+35.15)/21.25, IF(Segments!$D$74="Ozone", (AY21*EXP(0.068*AW21)-0.01)/0.47, IF(Segments!$D$74="Chloramines", (AY21*EXP(0.071*AW21)+410.7)/849.5, 0)))))</f>
        <v>0</v>
      </c>
      <c r="BA21" s="18">
        <f>IF(AY21=0, 0,IF(Segments!$D$74="Chlorine", AY21/(0.2828*AV21^2.69*AU21^0.15*0.933^(AW21-5)), IF(Segments!$D$74="Chlorine Dioxide", ((AY21*AW21^0.49)+0.18)/23.85, IF(Segments!$D$74="Ozone", (AY21*EXP(0.072*AW21)-0.01)/0.98, IF(Segments!$D$74="Chloramines", (AY21/(858.5-(24.3*AW21))), 0)))))</f>
        <v>0</v>
      </c>
      <c r="BB21" s="25">
        <f t="shared" si="14"/>
        <v>0</v>
      </c>
      <c r="BC21" s="19">
        <f t="shared" si="15"/>
        <v>0</v>
      </c>
    </row>
    <row r="22" spans="1:55" ht="13.5" thickBot="1" x14ac:dyDescent="0.25">
      <c r="A22" s="80"/>
      <c r="B22" s="3" t="str">
        <f>Segments!$C$85</f>
        <v>Not In Use</v>
      </c>
      <c r="C22" s="33"/>
      <c r="D22" s="33"/>
      <c r="E22" s="33"/>
      <c r="F22" s="33"/>
      <c r="G22" s="35"/>
      <c r="H22" s="28">
        <f>IF(Segments!$C$85="Not In Use",0, (IF(Segments!$F$85="Rectangular",Segments!$D$88*D22-Segments!$D$89, IF(Segments!$C$85="Pipe",Segments!$D$88,Segments!$D$88*D22))))</f>
        <v>0</v>
      </c>
      <c r="I22" s="31">
        <f>IF(Segments!$C$4="Not In Use", 0, IF(C22=0,0,H22*E22/C22))</f>
        <v>0</v>
      </c>
      <c r="J22" s="19">
        <f>IF(I22=0, 0,IF(Segments!$D$85="Chlorine", (I22*EXP(0.071*G22)-0.42)/2.94, IF(Segments!$D$85="Chlorine Dioxide", (I22*EXP(0.072*G22)+35.15)/21.25, IF(Segments!$D$85="Ozone", (I22*EXP(0.068*G22)-0.01)/0.47, IF(Segments!$D$85="Chloramines", (I22*EXP(0.071*G22)+410.7)/849.5, 0)))))</f>
        <v>0</v>
      </c>
      <c r="K22" s="18">
        <f>IF(I22=0, 0,IF(Segments!$D$85="Chlorine", I22/(0.2828*F22^2.69*E22^0.15*0.933^(G22-5)), IF(Segments!$D$85="Chlorine Dioxide", ((I22*G22^0.49)+0.18)/23.85, IF(Segments!$D$85="Ozone", (I22*EXP(0.072*G22)-0.01)/0.98, IF(Segments!$D$85="Chloramines", (I22/(858.5-(24.3*G22))), 0)))))</f>
        <v>0</v>
      </c>
      <c r="L22" s="25">
        <f t="shared" si="8"/>
        <v>0</v>
      </c>
      <c r="M22" s="19">
        <f t="shared" si="9"/>
        <v>0</v>
      </c>
      <c r="N22" s="15"/>
      <c r="O22" s="80"/>
      <c r="P22" s="3" t="str">
        <f>Segments!$C$85</f>
        <v>Not In Use</v>
      </c>
      <c r="Q22" s="33"/>
      <c r="R22" s="33"/>
      <c r="S22" s="33"/>
      <c r="T22" s="33"/>
      <c r="U22" s="35"/>
      <c r="V22" s="28">
        <f>IF(Segments!$C$85="Not In Use",0, (IF(Segments!$F$85="Rectangular",Segments!$D$88*R22-Segments!$D$89, IF(Segments!$C$85="Pipe",Segments!$D$88,Segments!$D$88*R22))))</f>
        <v>0</v>
      </c>
      <c r="W22" s="31">
        <f>IF(Segments!$C$4="Not In Use", 0, IF(Q22=0,0,V22*S22/Q22))</f>
        <v>0</v>
      </c>
      <c r="X22" s="19">
        <f>IF(W22=0, 0,IF(Segments!$D$85="Chlorine", (W22*EXP(0.071*U22)-0.42)/2.94, IF(Segments!$D$85="Chlorine Dioxide", (W22*EXP(0.072*U22)+35.15)/21.25, IF(Segments!$D$85="Ozone", (W22*EXP(0.068*U22)-0.01)/0.47, IF(Segments!$D$85="Chloramines", (W22*EXP(0.071*U22)+410.7)/849.5, 0)))))</f>
        <v>0</v>
      </c>
      <c r="Y22" s="18">
        <f>IF(W22=0, 0,IF(Segments!$D$85="Chlorine", W22/(0.2828*T22^2.69*S22^0.15*0.933^(U22-5)), IF(Segments!$D$85="Chlorine Dioxide", ((W22*U22^0.49)+0.18)/23.85, IF(Segments!$D$85="Ozone", (W22*EXP(0.072*U22)-0.01)/0.98, IF(Segments!$D$85="Chloramines", (W22/(858.5-(24.3*U22))), 0)))))</f>
        <v>0</v>
      </c>
      <c r="Z22" s="25">
        <f t="shared" si="10"/>
        <v>0</v>
      </c>
      <c r="AA22" s="19">
        <f t="shared" si="11"/>
        <v>0</v>
      </c>
      <c r="AC22" s="80"/>
      <c r="AD22" s="3" t="str">
        <f>Segments!$C$85</f>
        <v>Not In Use</v>
      </c>
      <c r="AE22" s="33"/>
      <c r="AF22" s="33"/>
      <c r="AG22" s="33"/>
      <c r="AH22" s="33"/>
      <c r="AI22" s="35"/>
      <c r="AJ22" s="28">
        <f>IF(Segments!$C$85="Not In Use",0, (IF(Segments!$F$85="Rectangular",Segments!$D$88*AF22-Segments!$D$89, IF(Segments!$C$85="Pipe",Segments!$D$88,Segments!$D$88*AF22))))</f>
        <v>0</v>
      </c>
      <c r="AK22" s="31">
        <f>IF(Segments!$C$4="Not In Use", 0, IF(AE22=0,0,AJ22*AG22/AE22))</f>
        <v>0</v>
      </c>
      <c r="AL22" s="19">
        <f>IF(AK22=0, 0,IF(Segments!$D$85="Chlorine", (AK22*EXP(0.071*AI22)-0.42)/2.94, IF(Segments!$D$85="Chlorine Dioxide", (AK22*EXP(0.072*AI22)+35.15)/21.25, IF(Segments!$D$85="Ozone", (AK22*EXP(0.068*AI22)-0.01)/0.47, IF(Segments!$D$85="Chloramines", (AK22*EXP(0.071*AI22)+410.7)/849.5, 0)))))</f>
        <v>0</v>
      </c>
      <c r="AM22" s="18">
        <f>IF(AK22=0, 0,IF(Segments!$D$85="Chlorine", AK22/(0.2828*AH22^2.69*AG22^0.15*0.933^(AI22-5)), IF(Segments!$D$85="Chlorine Dioxide", ((AK22*AI22^0.49)+0.18)/23.85, IF(Segments!$D$85="Ozone", (AK22*EXP(0.072*AI22)-0.01)/0.98, IF(Segments!$D$85="Chloramines", (AK22/(858.5-(24.3*AI22))), 0)))))</f>
        <v>0</v>
      </c>
      <c r="AN22" s="25">
        <f t="shared" si="12"/>
        <v>0</v>
      </c>
      <c r="AO22" s="19">
        <f t="shared" si="13"/>
        <v>0</v>
      </c>
      <c r="AQ22" s="80"/>
      <c r="AR22" s="3" t="str">
        <f>Segments!$C$85</f>
        <v>Not In Use</v>
      </c>
      <c r="AS22" s="33"/>
      <c r="AT22" s="33"/>
      <c r="AU22" s="33"/>
      <c r="AV22" s="33"/>
      <c r="AW22" s="35"/>
      <c r="AX22" s="28">
        <f>IF(Segments!$C$85="Not In Use",0, (IF(Segments!$F$85="Rectangular",Segments!$D$88*AT22-Segments!$D$89, IF(Segments!$C$85="Pipe",Segments!$D$88,Segments!$D$88*AT22))))</f>
        <v>0</v>
      </c>
      <c r="AY22" s="31">
        <f>IF(Segments!$C$4="Not In Use", 0, IF(AS22=0,0,AX22*AU22/AS22))</f>
        <v>0</v>
      </c>
      <c r="AZ22" s="19">
        <f>IF(AY22=0, 0,IF(Segments!$D$85="Chlorine", (AY22*EXP(0.071*AW22)-0.42)/2.94, IF(Segments!$D$85="Chlorine Dioxide", (AY22*EXP(0.072*AW22)+35.15)/21.25, IF(Segments!$D$85="Ozone", (AY22*EXP(0.068*AW22)-0.01)/0.47, IF(Segments!$D$85="Chloramines", (AY22*EXP(0.071*AW22)+410.7)/849.5, 0)))))</f>
        <v>0</v>
      </c>
      <c r="BA22" s="18">
        <f>IF(AY22=0, 0,IF(Segments!$D$85="Chlorine", AY22/(0.2828*AV22^2.69*AU22^0.15*0.933^(AW22-5)), IF(Segments!$D$85="Chlorine Dioxide", ((AY22*AW22^0.49)+0.18)/23.85, IF(Segments!$D$85="Ozone", (AY22*EXP(0.072*AW22)-0.01)/0.98, IF(Segments!$D$85="Chloramines", (AY22/(858.5-(24.3*AW22))), 0)))))</f>
        <v>0</v>
      </c>
      <c r="BB22" s="25">
        <f t="shared" si="14"/>
        <v>0</v>
      </c>
      <c r="BC22" s="19">
        <f t="shared" si="15"/>
        <v>0</v>
      </c>
    </row>
    <row r="23" spans="1:55" ht="13.5" thickBot="1" x14ac:dyDescent="0.25">
      <c r="A23" s="80"/>
      <c r="B23" s="3" t="str">
        <f>Segments!$C$96</f>
        <v>Not In Use</v>
      </c>
      <c r="C23" s="36"/>
      <c r="D23" s="36"/>
      <c r="E23" s="36"/>
      <c r="F23" s="36"/>
      <c r="G23" s="34"/>
      <c r="H23" s="29">
        <f>IF(Segments!$C$96="Not In Use",0, (IF(Segments!$F$96="Rectangular",Segments!$D$99*D23-Segments!$D$100, IF(Segments!$C$96="Pipe",Segments!$D$99,Segments!$D$99*D23))))</f>
        <v>0</v>
      </c>
      <c r="I23" s="32">
        <f>IF(Segments!$C$4="Not In Use", 0, IF(C23=0,0,H23*E23/C23))</f>
        <v>0</v>
      </c>
      <c r="J23" s="19">
        <f>IF(I23=0, 0,IF(Segments!$D$96="Chlorine", (I23*EXP(0.071*G23)-0.42)/2.94, IF(Segments!$D$96="Chlorine Dioxide", (I23*EXP(0.072*G23)+35.15)/21.25, IF(Segments!$D$96="Ozone", (I23*EXP(0.068*G23)-0.01)/0.47, IF(Segments!$D$96="Chloramines", (I23*EXP(0.071*G23)+410.7)/849.5, 0)))))</f>
        <v>0</v>
      </c>
      <c r="K23" s="18">
        <f>IF(I23=0, 0,IF(Segments!$D$96="Chlorine", I23/(0.2828*F23^2.69*E23^0.15*0.933^(G23-5)), IF(Segments!$D$96="Chlorine Dioxide", ((I23*G23^0.49)+0.18)/23.85, IF(Segments!$D$96="Ozone", (I23*EXP(0.072*G23)-0.01)/0.98, IF(Segments!$D$96="Chloramines", (I23/(858.5-(24.3*G23))), 0)))))</f>
        <v>0</v>
      </c>
      <c r="L23" s="25">
        <f t="shared" si="8"/>
        <v>0</v>
      </c>
      <c r="M23" s="19">
        <f t="shared" si="9"/>
        <v>0</v>
      </c>
      <c r="N23" s="15"/>
      <c r="O23" s="80"/>
      <c r="P23" s="3" t="str">
        <f>Segments!$C$96</f>
        <v>Not In Use</v>
      </c>
      <c r="Q23" s="36"/>
      <c r="R23" s="36"/>
      <c r="S23" s="36"/>
      <c r="T23" s="36"/>
      <c r="U23" s="34"/>
      <c r="V23" s="29">
        <f>IF(Segments!$C$96="Not In Use",0, (IF(Segments!$F$96="Rectangular",Segments!$D$99*R23-Segments!$D$100, IF(Segments!$C$96="Pipe",Segments!$D$99,Segments!$D$99*R23))))</f>
        <v>0</v>
      </c>
      <c r="W23" s="32">
        <f>IF(Segments!$C$4="Not In Use", 0, IF(Q23=0,0,V23*S23/Q23))</f>
        <v>0</v>
      </c>
      <c r="X23" s="19">
        <f>IF(W23=0, 0,IF(Segments!$D$96="Chlorine", (W23*EXP(0.071*U23)-0.42)/2.94, IF(Segments!$D$96="Chlorine Dioxide", (W23*EXP(0.072*U23)+35.15)/21.25, IF(Segments!$D$96="Ozone", (W23*EXP(0.068*U23)-0.01)/0.47, IF(Segments!$D$96="Chloramines", (W23*EXP(0.071*U23)+410.7)/849.5, 0)))))</f>
        <v>0</v>
      </c>
      <c r="Y23" s="18">
        <f>IF(W23=0, 0,IF(Segments!$D$96="Chlorine", W23/(0.2828*T23^2.69*S23^0.15*0.933^(U23-5)), IF(Segments!$D$96="Chlorine Dioxide", ((W23*U23^0.49)+0.18)/23.85, IF(Segments!$D$96="Ozone", (W23*EXP(0.072*U23)-0.01)/0.98, IF(Segments!$D$96="Chloramines", (W23/(858.5-(24.3*U23))), 0)))))</f>
        <v>0</v>
      </c>
      <c r="Z23" s="25">
        <f t="shared" si="10"/>
        <v>0</v>
      </c>
      <c r="AA23" s="19">
        <f t="shared" si="11"/>
        <v>0</v>
      </c>
      <c r="AC23" s="80"/>
      <c r="AD23" s="3" t="str">
        <f>Segments!$C$96</f>
        <v>Not In Use</v>
      </c>
      <c r="AE23" s="36"/>
      <c r="AF23" s="36"/>
      <c r="AG23" s="36"/>
      <c r="AH23" s="36"/>
      <c r="AI23" s="34"/>
      <c r="AJ23" s="29">
        <f>IF(Segments!$C$96="Not In Use",0, (IF(Segments!$F$96="Rectangular",Segments!$D$99*AF23-Segments!$D$100, IF(Segments!$C$96="Pipe",Segments!$D$99,Segments!$D$99*AF23))))</f>
        <v>0</v>
      </c>
      <c r="AK23" s="32">
        <f>IF(Segments!$C$4="Not In Use", 0, IF(AE23=0,0,AJ23*AG23/AE23))</f>
        <v>0</v>
      </c>
      <c r="AL23" s="19">
        <f>IF(AK23=0, 0,IF(Segments!$D$96="Chlorine", (AK23*EXP(0.071*AI23)-0.42)/2.94, IF(Segments!$D$96="Chlorine Dioxide", (AK23*EXP(0.072*AI23)+35.15)/21.25, IF(Segments!$D$96="Ozone", (AK23*EXP(0.068*AI23)-0.01)/0.47, IF(Segments!$D$96="Chloramines", (AK23*EXP(0.071*AI23)+410.7)/849.5, 0)))))</f>
        <v>0</v>
      </c>
      <c r="AM23" s="18">
        <f>IF(AK23=0, 0,IF(Segments!$D$96="Chlorine", AK23/(0.2828*AH23^2.69*AG23^0.15*0.933^(AI23-5)), IF(Segments!$D$96="Chlorine Dioxide", ((AK23*AI23^0.49)+0.18)/23.85, IF(Segments!$D$96="Ozone", (AK23*EXP(0.072*AI23)-0.01)/0.98, IF(Segments!$D$96="Chloramines", (AK23/(858.5-(24.3*AI23))), 0)))))</f>
        <v>0</v>
      </c>
      <c r="AN23" s="25">
        <f t="shared" si="12"/>
        <v>0</v>
      </c>
      <c r="AO23" s="19">
        <f t="shared" si="13"/>
        <v>0</v>
      </c>
      <c r="AQ23" s="80"/>
      <c r="AR23" s="3" t="str">
        <f>Segments!$C$96</f>
        <v>Not In Use</v>
      </c>
      <c r="AS23" s="36"/>
      <c r="AT23" s="36"/>
      <c r="AU23" s="36"/>
      <c r="AV23" s="36"/>
      <c r="AW23" s="34"/>
      <c r="AX23" s="29">
        <f>IF(Segments!$C$96="Not In Use",0, (IF(Segments!$F$96="Rectangular",Segments!$D$99*AT23-Segments!$D$100, IF(Segments!$C$96="Pipe",Segments!$D$99,Segments!$D$99*AT23))))</f>
        <v>0</v>
      </c>
      <c r="AY23" s="32">
        <f>IF(Segments!$C$4="Not In Use", 0, IF(AS23=0,0,AX23*AU23/AS23))</f>
        <v>0</v>
      </c>
      <c r="AZ23" s="19">
        <f>IF(AY23=0, 0,IF(Segments!$D$96="Chlorine", (AY23*EXP(0.071*AW23)-0.42)/2.94, IF(Segments!$D$96="Chlorine Dioxide", (AY23*EXP(0.072*AW23)+35.15)/21.25, IF(Segments!$D$96="Ozone", (AY23*EXP(0.068*AW23)-0.01)/0.47, IF(Segments!$D$96="Chloramines", (AY23*EXP(0.071*AW23)+410.7)/849.5, 0)))))</f>
        <v>0</v>
      </c>
      <c r="BA23" s="18">
        <f>IF(AY23=0, 0,IF(Segments!$D$96="Chlorine", AY23/(0.2828*AV23^2.69*AU23^0.15*0.933^(AW23-5)), IF(Segments!$D$96="Chlorine Dioxide", ((AY23*AW23^0.49)+0.18)/23.85, IF(Segments!$D$96="Ozone", (AY23*EXP(0.072*AW23)-0.01)/0.98, IF(Segments!$D$96="Chloramines", (AY23/(858.5-(24.3*AW23))), 0)))))</f>
        <v>0</v>
      </c>
      <c r="BB23" s="25">
        <f t="shared" si="14"/>
        <v>0</v>
      </c>
      <c r="BC23" s="19">
        <f t="shared" si="15"/>
        <v>0</v>
      </c>
    </row>
    <row r="24" spans="1:55" ht="13.5" thickBot="1" x14ac:dyDescent="0.25">
      <c r="A24" s="81"/>
      <c r="B24" s="22" t="s">
        <v>42</v>
      </c>
      <c r="C24" s="23"/>
      <c r="D24" s="23"/>
      <c r="E24" s="23"/>
      <c r="F24" s="23"/>
      <c r="G24" s="23"/>
      <c r="H24" s="26"/>
      <c r="I24" s="50">
        <f>SUM(I15:I23)</f>
        <v>112.09274214285715</v>
      </c>
      <c r="J24" s="50">
        <f>SUM(J15:J23)</f>
        <v>146.49565716496525</v>
      </c>
      <c r="K24" s="50">
        <f>SUM(K15:K23)</f>
        <v>5.3142450391756331</v>
      </c>
      <c r="L24" s="50">
        <f>SUM(L15:L23)</f>
        <v>36.623914291241313</v>
      </c>
      <c r="M24" s="50">
        <f>SUM(M15:M23)</f>
        <v>1.7714150130585442</v>
      </c>
      <c r="N24" s="15"/>
      <c r="O24" s="81"/>
      <c r="P24" s="22" t="s">
        <v>42</v>
      </c>
      <c r="Q24" s="23"/>
      <c r="R24" s="23"/>
      <c r="S24" s="23"/>
      <c r="T24" s="23"/>
      <c r="U24" s="23"/>
      <c r="V24" s="26"/>
      <c r="W24" s="50">
        <f>SUM(W15:W23)</f>
        <v>112.09274214285715</v>
      </c>
      <c r="X24" s="50">
        <f>SUM(X15:X23)</f>
        <v>146.49565716496525</v>
      </c>
      <c r="Y24" s="50">
        <f>SUM(Y15:Y23)</f>
        <v>5.3142450391756331</v>
      </c>
      <c r="Z24" s="50">
        <f>SUM(Z15:Z23)</f>
        <v>36.623914291241313</v>
      </c>
      <c r="AA24" s="50">
        <f>SUM(AA15:AA23)</f>
        <v>1.7714150130585442</v>
      </c>
      <c r="AC24" s="81"/>
      <c r="AD24" s="22" t="s">
        <v>42</v>
      </c>
      <c r="AE24" s="23"/>
      <c r="AF24" s="23"/>
      <c r="AG24" s="23"/>
      <c r="AH24" s="23"/>
      <c r="AI24" s="23"/>
      <c r="AJ24" s="26"/>
      <c r="AK24" s="50">
        <f>SUM(AK15:AK23)</f>
        <v>3.9219910714285717</v>
      </c>
      <c r="AL24" s="50">
        <f>SUM(AL15:AL23)</f>
        <v>3.7268927194332697</v>
      </c>
      <c r="AM24" s="50">
        <f>SUM(AM15:AM23)</f>
        <v>0.11557988836844089</v>
      </c>
      <c r="AN24" s="50">
        <f>SUM(AN15:AN23)</f>
        <v>0.93172317985831743</v>
      </c>
      <c r="AO24" s="50">
        <f>SUM(AO15:AO23)</f>
        <v>3.8526629456146967E-2</v>
      </c>
      <c r="AQ24" s="81"/>
      <c r="AR24" s="22" t="s">
        <v>42</v>
      </c>
      <c r="AS24" s="23"/>
      <c r="AT24" s="23"/>
      <c r="AU24" s="23"/>
      <c r="AV24" s="23"/>
      <c r="AW24" s="23"/>
      <c r="AX24" s="26"/>
      <c r="AY24" s="50">
        <f>SUM(AY15:AY23)</f>
        <v>3.9219910714285717</v>
      </c>
      <c r="AZ24" s="50">
        <f>SUM(AZ15:AZ23)</f>
        <v>3.7268927194332697</v>
      </c>
      <c r="BA24" s="50">
        <f>SUM(BA15:BA23)</f>
        <v>0.11557988836844089</v>
      </c>
      <c r="BB24" s="50">
        <f>SUM(BB15:BB23)</f>
        <v>0.93172317985831743</v>
      </c>
      <c r="BC24" s="50">
        <f>SUM(BC15:BC23)</f>
        <v>3.8526629456146967E-2</v>
      </c>
    </row>
    <row r="25" spans="1:55" s="15" customFormat="1" ht="6.75" customHeight="1" thickBot="1" x14ac:dyDescent="0.25"/>
    <row r="26" spans="1:55" ht="51.75" customHeight="1" thickBot="1" x14ac:dyDescent="0.25">
      <c r="A26" s="79" t="s">
        <v>44</v>
      </c>
      <c r="B26" s="6" t="s">
        <v>23</v>
      </c>
      <c r="C26" s="16" t="s">
        <v>83</v>
      </c>
      <c r="D26" s="6" t="s">
        <v>38</v>
      </c>
      <c r="E26" s="16" t="s">
        <v>45</v>
      </c>
      <c r="F26" s="16" t="s">
        <v>6</v>
      </c>
      <c r="G26" s="16" t="s">
        <v>37</v>
      </c>
      <c r="H26" s="16" t="s">
        <v>35</v>
      </c>
      <c r="I26" s="16" t="s">
        <v>46</v>
      </c>
      <c r="J26" s="16" t="s">
        <v>39</v>
      </c>
      <c r="K26" s="16" t="s">
        <v>40</v>
      </c>
      <c r="L26" s="16" t="s">
        <v>41</v>
      </c>
      <c r="M26" s="17" t="s">
        <v>36</v>
      </c>
      <c r="N26" s="15"/>
      <c r="O26" s="79" t="s">
        <v>50</v>
      </c>
      <c r="P26" s="6" t="s">
        <v>23</v>
      </c>
      <c r="Q26" s="16" t="s">
        <v>83</v>
      </c>
      <c r="R26" s="6" t="s">
        <v>38</v>
      </c>
      <c r="S26" s="16" t="s">
        <v>45</v>
      </c>
      <c r="T26" s="16" t="s">
        <v>6</v>
      </c>
      <c r="U26" s="16" t="s">
        <v>37</v>
      </c>
      <c r="V26" s="16" t="s">
        <v>35</v>
      </c>
      <c r="W26" s="16" t="s">
        <v>46</v>
      </c>
      <c r="X26" s="16" t="s">
        <v>39</v>
      </c>
      <c r="Y26" s="16" t="s">
        <v>40</v>
      </c>
      <c r="Z26" s="16" t="s">
        <v>41</v>
      </c>
      <c r="AA26" s="17" t="s">
        <v>36</v>
      </c>
      <c r="AC26" s="79" t="s">
        <v>70</v>
      </c>
      <c r="AD26" s="6" t="s">
        <v>23</v>
      </c>
      <c r="AE26" s="16" t="s">
        <v>83</v>
      </c>
      <c r="AF26" s="6" t="s">
        <v>38</v>
      </c>
      <c r="AG26" s="16" t="s">
        <v>45</v>
      </c>
      <c r="AH26" s="16" t="s">
        <v>6</v>
      </c>
      <c r="AI26" s="16" t="s">
        <v>37</v>
      </c>
      <c r="AJ26" s="16" t="s">
        <v>35</v>
      </c>
      <c r="AK26" s="16" t="s">
        <v>46</v>
      </c>
      <c r="AL26" s="16" t="s">
        <v>39</v>
      </c>
      <c r="AM26" s="16" t="s">
        <v>40</v>
      </c>
      <c r="AN26" s="16" t="s">
        <v>41</v>
      </c>
      <c r="AO26" s="17" t="s">
        <v>36</v>
      </c>
      <c r="AQ26" s="79" t="s">
        <v>74</v>
      </c>
      <c r="AR26" s="6" t="s">
        <v>23</v>
      </c>
      <c r="AS26" s="16" t="s">
        <v>83</v>
      </c>
      <c r="AT26" s="6" t="s">
        <v>38</v>
      </c>
      <c r="AU26" s="16" t="s">
        <v>45</v>
      </c>
      <c r="AV26" s="16" t="s">
        <v>6</v>
      </c>
      <c r="AW26" s="16" t="s">
        <v>37</v>
      </c>
      <c r="AX26" s="16" t="s">
        <v>35</v>
      </c>
      <c r="AY26" s="16" t="s">
        <v>46</v>
      </c>
      <c r="AZ26" s="16" t="s">
        <v>39</v>
      </c>
      <c r="BA26" s="16" t="s">
        <v>40</v>
      </c>
      <c r="BB26" s="16" t="s">
        <v>41</v>
      </c>
      <c r="BC26" s="17" t="s">
        <v>36</v>
      </c>
    </row>
    <row r="27" spans="1:55" ht="13.5" thickBot="1" x14ac:dyDescent="0.25">
      <c r="A27" s="80"/>
      <c r="B27" s="3" t="str">
        <f>Segments!$C$4</f>
        <v>Rapid Mix</v>
      </c>
      <c r="C27" s="34">
        <v>1400</v>
      </c>
      <c r="D27" s="33">
        <v>12</v>
      </c>
      <c r="E27" s="33">
        <v>0.3</v>
      </c>
      <c r="F27" s="33">
        <v>6.9</v>
      </c>
      <c r="G27" s="35">
        <v>19</v>
      </c>
      <c r="H27" s="27">
        <f>IF(Segments!$C$4="Not In Use",0, (IF(Segments!$F$4="Rectangular",Segments!$D$7*D27-Segments!$D$8, IF(Segments!$C$4="Pipe",Segments!$D$7,Segments!$D$7*D27))))</f>
        <v>4392.63</v>
      </c>
      <c r="I27" s="30">
        <f>IF(Segments!$C$4="Not In Use", 0, IF(C27=0,0,H27*E27/C27))</f>
        <v>0.94127785714285717</v>
      </c>
      <c r="J27" s="21">
        <f>IF(I27=0, 0,IF(Segments!$D$4="Chlorine", (I27*EXP(0.071*G27)-0.42)/2.94, IF(Segments!$D$4="Chlorine Dioxide", (I27*EXP(0.072*G27)+35.15)/21.25, IF(Segments!$D$4="Ozone", (I27*EXP(0.068*G27)-0.01)/0.47, IF(Segments!$D$4="Chloramines", (I27*EXP(0.071*G27)+410.7)/849.5, 0)))))</f>
        <v>1.0909116133450996</v>
      </c>
      <c r="K27" s="20">
        <f>IF(I27=0, 0,IF(Segments!$D$4="Chlorine", I27/(0.2828*F27^2.69*E27^0.15*0.933^(G27-5)), IF(Segments!$D$4="Chlorine Dioxide", ((I27*G27^0.49)+0.18)/23.85, IF(Segments!$D$4="Ozone", (I27*EXP(0.072*G27)-0.01)/0.98, IF(Segments!$D$4="Chloramines", (I27/(858.5-(24.3*G27))), 0)))))</f>
        <v>5.8320761032030599E-2</v>
      </c>
      <c r="L27" s="24">
        <f>J27/4</f>
        <v>0.27272790333627489</v>
      </c>
      <c r="M27" s="21">
        <f>K27/3</f>
        <v>1.9440253677343533E-2</v>
      </c>
      <c r="N27" s="15"/>
      <c r="O27" s="80"/>
      <c r="P27" s="3" t="str">
        <f>Segments!$C$4</f>
        <v>Rapid Mix</v>
      </c>
      <c r="Q27" s="34">
        <v>1400</v>
      </c>
      <c r="R27" s="33">
        <v>12</v>
      </c>
      <c r="S27" s="33">
        <v>0.3</v>
      </c>
      <c r="T27" s="33">
        <v>6.9</v>
      </c>
      <c r="U27" s="35">
        <v>19</v>
      </c>
      <c r="V27" s="27">
        <f>IF(Segments!$C$4="Not In Use",0, (IF(Segments!$F$4="Rectangular",Segments!$D$7*R27-Segments!$D$8, IF(Segments!$C$4="Pipe",Segments!$D$7,Segments!$D$7*R27))))</f>
        <v>4392.63</v>
      </c>
      <c r="W27" s="30">
        <f>IF(Segments!$C$4="Not In Use", 0, IF(Q27=0,0,V27*S27/Q27))</f>
        <v>0.94127785714285717</v>
      </c>
      <c r="X27" s="21">
        <f>IF(W27=0, 0,IF(Segments!$D$4="Chlorine", (W27*EXP(0.071*U27)-0.42)/2.94, IF(Segments!$D$4="Chlorine Dioxide", (W27*EXP(0.072*U27)+35.15)/21.25, IF(Segments!$D$4="Ozone", (W27*EXP(0.068*U27)-0.01)/0.47, IF(Segments!$D$4="Chloramines", (W27*EXP(0.071*U27)+410.7)/849.5, 0)))))</f>
        <v>1.0909116133450996</v>
      </c>
      <c r="Y27" s="20">
        <f>IF(W27=0, 0,IF(Segments!$D$4="Chlorine", W27/(0.2828*T27^2.69*S27^0.15*0.933^(U27-5)), IF(Segments!$D$4="Chlorine Dioxide", ((W27*U27^0.49)+0.18)/23.85, IF(Segments!$D$4="Ozone", (W27*EXP(0.072*U27)-0.01)/0.98, IF(Segments!$D$4="Chloramines", (W27/(858.5-(24.3*U27))), 0)))))</f>
        <v>5.8320761032030599E-2</v>
      </c>
      <c r="Z27" s="24">
        <f>X27/4</f>
        <v>0.27272790333627489</v>
      </c>
      <c r="AA27" s="21">
        <f>Y27/3</f>
        <v>1.9440253677343533E-2</v>
      </c>
      <c r="AC27" s="80"/>
      <c r="AD27" s="3" t="str">
        <f>Segments!$C$4</f>
        <v>Rapid Mix</v>
      </c>
      <c r="AE27" s="34">
        <v>1400</v>
      </c>
      <c r="AF27" s="33">
        <v>10</v>
      </c>
      <c r="AG27" s="33">
        <v>1.5</v>
      </c>
      <c r="AH27" s="33">
        <v>7.5</v>
      </c>
      <c r="AI27" s="35">
        <v>15</v>
      </c>
      <c r="AJ27" s="27">
        <f>IF(Segments!$C$4="Not In Use",0, (IF(Segments!$F$4="Rectangular",Segments!$D$7*AF27-Segments!$D$8, IF(Segments!$C$4="Pipe",Segments!$D$7,Segments!$D$7*AF27))))</f>
        <v>3660.5250000000001</v>
      </c>
      <c r="AK27" s="30">
        <f>IF(Segments!$C$4="Not In Use", 0, IF(AE27=0,0,AJ27*AG27/AE27))</f>
        <v>3.9219910714285717</v>
      </c>
      <c r="AL27" s="21">
        <f>IF(AK27=0, 0,IF(Segments!$D$4="Chlorine", (AK27*EXP(0.071*AI27)-0.42)/2.94, IF(Segments!$D$4="Chlorine Dioxide", (AK27*EXP(0.072*AI27)+35.15)/21.25, IF(Segments!$D$4="Ozone", (AK27*EXP(0.068*AI27)-0.01)/0.47, IF(Segments!$D$4="Chloramines", (AK27*EXP(0.071*AI27)+410.7)/849.5, 0)))))</f>
        <v>3.7268927194332697</v>
      </c>
      <c r="AM27" s="20">
        <f>IF(AK27=0, 0,IF(Segments!$D$4="Chlorine", AK27/(0.2828*AH27^2.69*AG27^0.15*0.933^(AI27-5)), IF(Segments!$D$4="Chlorine Dioxide", ((AK27*AI27^0.49)+0.18)/23.85, IF(Segments!$D$4="Ozone", (AK27*EXP(0.072*AI27)-0.01)/0.98, IF(Segments!$D$4="Chloramines", (AK27/(858.5-(24.3*AI27))), 0)))))</f>
        <v>0.11557988836844089</v>
      </c>
      <c r="AN27" s="24">
        <f>AL27/4</f>
        <v>0.93172317985831743</v>
      </c>
      <c r="AO27" s="21">
        <f>AM27/3</f>
        <v>3.8526629456146967E-2</v>
      </c>
      <c r="AQ27" s="80"/>
      <c r="AR27" s="3" t="str">
        <f>Segments!$C$4</f>
        <v>Rapid Mix</v>
      </c>
      <c r="AS27" s="34">
        <v>1400</v>
      </c>
      <c r="AT27" s="33">
        <v>10</v>
      </c>
      <c r="AU27" s="33">
        <v>1.5</v>
      </c>
      <c r="AV27" s="33">
        <v>7.5</v>
      </c>
      <c r="AW27" s="35">
        <v>15</v>
      </c>
      <c r="AX27" s="27">
        <f>IF(Segments!$C$4="Not In Use",0, (IF(Segments!$F$4="Rectangular",Segments!$D$7*AT27-Segments!$D$8, IF(Segments!$C$4="Pipe",Segments!$D$7,Segments!$D$7*AT27))))</f>
        <v>3660.5250000000001</v>
      </c>
      <c r="AY27" s="30">
        <f>IF(Segments!$C$4="Not In Use", 0, IF(AS27=0,0,AX27*AU27/AS27))</f>
        <v>3.9219910714285717</v>
      </c>
      <c r="AZ27" s="21">
        <f>IF(AY27=0, 0,IF(Segments!$D$4="Chlorine", (AY27*EXP(0.071*AW27)-0.42)/2.94, IF(Segments!$D$4="Chlorine Dioxide", (AY27*EXP(0.072*AW27)+35.15)/21.25, IF(Segments!$D$4="Ozone", (AY27*EXP(0.068*AW27)-0.01)/0.47, IF(Segments!$D$4="Chloramines", (AY27*EXP(0.071*AW27)+410.7)/849.5, 0)))))</f>
        <v>3.7268927194332697</v>
      </c>
      <c r="BA27" s="20">
        <f>IF(AY27=0, 0,IF(Segments!$D$4="Chlorine", AY27/(0.2828*AV27^2.69*AU27^0.15*0.933^(AW27-5)), IF(Segments!$D$4="Chlorine Dioxide", ((AY27*AW27^0.49)+0.18)/23.85, IF(Segments!$D$4="Ozone", (AY27*EXP(0.072*AW27)-0.01)/0.98, IF(Segments!$D$4="Chloramines", (AY27/(858.5-(24.3*AW27))), 0)))))</f>
        <v>0.11557988836844089</v>
      </c>
      <c r="BB27" s="24">
        <f>AZ27/4</f>
        <v>0.93172317985831743</v>
      </c>
      <c r="BC27" s="21">
        <f>BA27/3</f>
        <v>3.8526629456146967E-2</v>
      </c>
    </row>
    <row r="28" spans="1:55" ht="13.5" thickBot="1" x14ac:dyDescent="0.25">
      <c r="A28" s="80"/>
      <c r="B28" s="3" t="str">
        <f>Segments!$C$15</f>
        <v>Flocculation</v>
      </c>
      <c r="C28" s="33">
        <v>1400</v>
      </c>
      <c r="D28" s="33">
        <v>12</v>
      </c>
      <c r="E28" s="33">
        <v>0</v>
      </c>
      <c r="F28" s="33">
        <v>6.9</v>
      </c>
      <c r="G28" s="35">
        <v>19</v>
      </c>
      <c r="H28" s="28">
        <f>IF(Segments!$C$15="Not In Use",0, (IF(Segments!$F$15="Rectangular",Segments!$D$18*D28-Segments!$D$19, IF(Segments!$C$15="Pipe",Segments!$D$18,Segments!$D$18*D28))))</f>
        <v>0</v>
      </c>
      <c r="I28" s="31">
        <f>IF(Segments!$C$4="Not In Use", 0, IF(C28=0,0,H28*E28/C28))</f>
        <v>0</v>
      </c>
      <c r="J28" s="19">
        <f>IF(I28=0, 0,IF(Segments!$D$15="Chlorine", (I28*EXP(0.071*G28)-0.42)/2.94, IF(Segments!$D$15="Chlorine Dioxide", (I28*EXP(0.072*G28)+35.15)/21.25, IF(Segments!$D$15="Ozone", (I28*EXP(0.068*G28)-0.01)/0.47, IF(Segments!$D$15="Chloramines", (I28*EXP(0.071*G28)+410.7)/849.5, 0)))))</f>
        <v>0</v>
      </c>
      <c r="K28" s="18">
        <f>IF(I28=0, 0,IF(Segments!$D$15="Chlorine", I28/(0.2828*F28^2.69*E28^0.15*0.933^(G28-5)), IF(Segments!$D$15="Chlorine Dioxide", ((I28*G28^0.49)+0.18)/23.85, IF(Segments!$D$15="Ozone", (I28*exp^(0.072*G28)-0.01)/0.98, IF(Segments!$D$15="Chloramines", (I28/(858.5-(24.3*G28))), 0)))))</f>
        <v>0</v>
      </c>
      <c r="L28" s="25">
        <f t="shared" ref="L28:L35" si="16">J28/4</f>
        <v>0</v>
      </c>
      <c r="M28" s="19">
        <f t="shared" ref="M28:M35" si="17">K28/3</f>
        <v>0</v>
      </c>
      <c r="N28" s="15"/>
      <c r="O28" s="80"/>
      <c r="P28" s="3" t="str">
        <f>Segments!$C$15</f>
        <v>Flocculation</v>
      </c>
      <c r="Q28" s="33">
        <v>1400</v>
      </c>
      <c r="R28" s="33">
        <v>12</v>
      </c>
      <c r="S28" s="33">
        <v>0</v>
      </c>
      <c r="T28" s="33">
        <v>6.9</v>
      </c>
      <c r="U28" s="35">
        <v>19</v>
      </c>
      <c r="V28" s="28">
        <f>IF(Segments!$C$15="Not In Use",0, (IF(Segments!$F$15="Rectangular",Segments!$D$18*R28-Segments!$D$19, IF(Segments!$C$15="Pipe",Segments!$D$18,Segments!$D$18*R28))))</f>
        <v>0</v>
      </c>
      <c r="W28" s="31">
        <f>IF(Segments!$C$4="Not In Use", 0, IF(Q28=0,0,V28*S28/Q28))</f>
        <v>0</v>
      </c>
      <c r="X28" s="19">
        <f>IF(W28=0, 0,IF(Segments!$D$15="Chlorine", (W28*EXP(0.071*U28)-0.42)/2.94, IF(Segments!$D$15="Chlorine Dioxide", (W28*EXP(0.072*U28)+35.15)/21.25, IF(Segments!$D$15="Ozone", (W28*EXP(0.068*U28)-0.01)/0.47, IF(Segments!$D$15="Chloramines", (W28*EXP(0.071*U28)+410.7)/849.5, 0)))))</f>
        <v>0</v>
      </c>
      <c r="Y28" s="18">
        <f>IF(W28=0, 0,IF(Segments!$D$15="Chlorine", W28/(0.2828*T28^2.69*S28^0.15*0.933^(U28-5)), IF(Segments!$D$15="Chlorine Dioxide", ((W28*U28^0.49)+0.18)/23.85, IF(Segments!$D$15="Ozone", (W28*exp^(0.072*U28)-0.01)/0.98, IF(Segments!$D$15="Chloramines", (W28/(858.5-(24.3*U28))), 0)))))</f>
        <v>0</v>
      </c>
      <c r="Z28" s="25">
        <f t="shared" ref="Z28:Z35" si="18">X28/4</f>
        <v>0</v>
      </c>
      <c r="AA28" s="19">
        <f t="shared" ref="AA28:AA35" si="19">Y28/3</f>
        <v>0</v>
      </c>
      <c r="AC28" s="80"/>
      <c r="AD28" s="3" t="str">
        <f>Segments!$C$15</f>
        <v>Flocculation</v>
      </c>
      <c r="AE28" s="33">
        <v>1400</v>
      </c>
      <c r="AF28" s="33"/>
      <c r="AG28" s="33">
        <v>1.4</v>
      </c>
      <c r="AH28" s="33">
        <v>7.5</v>
      </c>
      <c r="AI28" s="35">
        <v>15</v>
      </c>
      <c r="AJ28" s="28">
        <f>IF(Segments!$C$15="Not In Use",0, (IF(Segments!$F$15="Rectangular",Segments!$D$18*AF28-Segments!$D$19, IF(Segments!$C$15="Pipe",Segments!$D$18,Segments!$D$18*AF28))))</f>
        <v>0</v>
      </c>
      <c r="AK28" s="31">
        <f>IF(Segments!$C$4="Not In Use", 0, IF(AE28=0,0,AJ28*AG28/AE28))</f>
        <v>0</v>
      </c>
      <c r="AL28" s="19">
        <f>IF(AK28=0, 0,IF(Segments!$D$15="Chlorine", (AK28*EXP(0.071*AI28)-0.42)/2.94, IF(Segments!$D$15="Chlorine Dioxide", (AK28*EXP(0.072*AI28)+35.15)/21.25, IF(Segments!$D$15="Ozone", (AK28*EXP(0.068*AI28)-0.01)/0.47, IF(Segments!$D$15="Chloramines", (AK28*EXP(0.071*AI28)+410.7)/849.5, 0)))))</f>
        <v>0</v>
      </c>
      <c r="AM28" s="18">
        <f>IF(AK28=0, 0,IF(Segments!$D$15="Chlorine", AK28/(0.2828*AH28^2.69*AG28^0.15*0.933^(AI28-5)), IF(Segments!$D$15="Chlorine Dioxide", ((AK28*AI28^0.49)+0.18)/23.85, IF(Segments!$D$15="Ozone", (AK28*exp^(0.072*AI28)-0.01)/0.98, IF(Segments!$D$15="Chloramines", (AK28/(858.5-(24.3*AI28))), 0)))))</f>
        <v>0</v>
      </c>
      <c r="AN28" s="25">
        <f t="shared" ref="AN28:AN35" si="20">AL28/4</f>
        <v>0</v>
      </c>
      <c r="AO28" s="19">
        <f t="shared" ref="AO28:AO35" si="21">AM28/3</f>
        <v>0</v>
      </c>
      <c r="AQ28" s="80"/>
      <c r="AR28" s="3" t="str">
        <f>Segments!$C$15</f>
        <v>Flocculation</v>
      </c>
      <c r="AS28" s="33">
        <v>1400</v>
      </c>
      <c r="AT28" s="33"/>
      <c r="AU28" s="33">
        <v>1.4</v>
      </c>
      <c r="AV28" s="33">
        <v>7.5</v>
      </c>
      <c r="AW28" s="35">
        <v>15</v>
      </c>
      <c r="AX28" s="28">
        <f>IF(Segments!$C$15="Not In Use",0, (IF(Segments!$F$15="Rectangular",Segments!$D$18*AT28-Segments!$D$19, IF(Segments!$C$15="Pipe",Segments!$D$18,Segments!$D$18*AT28))))</f>
        <v>0</v>
      </c>
      <c r="AY28" s="31">
        <f>IF(Segments!$C$4="Not In Use", 0, IF(AS28=0,0,AX28*AU28/AS28))</f>
        <v>0</v>
      </c>
      <c r="AZ28" s="19">
        <f>IF(AY28=0, 0,IF(Segments!$D$15="Chlorine", (AY28*EXP(0.071*AW28)-0.42)/2.94, IF(Segments!$D$15="Chlorine Dioxide", (AY28*EXP(0.072*AW28)+35.15)/21.25, IF(Segments!$D$15="Ozone", (AY28*EXP(0.068*AW28)-0.01)/0.47, IF(Segments!$D$15="Chloramines", (AY28*EXP(0.071*AW28)+410.7)/849.5, 0)))))</f>
        <v>0</v>
      </c>
      <c r="BA28" s="18">
        <f>IF(AY28=0, 0,IF(Segments!$D$15="Chlorine", AY28/(0.2828*AV28^2.69*AU28^0.15*0.933^(AW28-5)), IF(Segments!$D$15="Chlorine Dioxide", ((AY28*AW28^0.49)+0.18)/23.85, IF(Segments!$D$15="Ozone", (AY28*exp^(0.072*AW28)-0.01)/0.98, IF(Segments!$D$15="Chloramines", (AY28/(858.5-(24.3*AW28))), 0)))))</f>
        <v>0</v>
      </c>
      <c r="BB28" s="25">
        <f t="shared" ref="BB28:BB35" si="22">AZ28/4</f>
        <v>0</v>
      </c>
      <c r="BC28" s="19">
        <f t="shared" ref="BC28:BC35" si="23">BA28/3</f>
        <v>0</v>
      </c>
    </row>
    <row r="29" spans="1:55" ht="13.5" thickBot="1" x14ac:dyDescent="0.25">
      <c r="A29" s="80"/>
      <c r="B29" s="3" t="str">
        <f>Segments!$C$26</f>
        <v>Sedimentation</v>
      </c>
      <c r="C29" s="33">
        <v>1400</v>
      </c>
      <c r="D29" s="33">
        <v>12</v>
      </c>
      <c r="E29" s="33">
        <v>0</v>
      </c>
      <c r="F29" s="33">
        <v>6.9</v>
      </c>
      <c r="G29" s="35">
        <v>19</v>
      </c>
      <c r="H29" s="28">
        <f>IF(Segments!$C$26="Not In Use",0, (IF(Segments!$F$26="Rectangular",Segments!$D$29*D29-Segments!$D$30, IF(Segments!$C$26="Pipe",Segments!$D$29,Segments!$D$29*D29))))</f>
        <v>0</v>
      </c>
      <c r="I29" s="31">
        <f>IF(Segments!$C$4="Not In Use", 0, IF(C29=0,0,H29*E29/C29))</f>
        <v>0</v>
      </c>
      <c r="J29" s="19">
        <f>IF(I29=0, 0,IF(Segments!$D$26="Chlorine", (I29*EXP(0.071*G29)-0.42)/2.94, IF(Segments!$D$26="Chlorine Dioxide", (I29*EXP(0.072*G29)+35.15)/21.25, IF(Segments!$D$26="Ozone", (I29*EXP(0.068*G29)-0.01)/0.47, IF(Segments!$D$26="Chloramines", (I29*EXP(0.071*G29)+410.7)/849.5, 0)))))</f>
        <v>0</v>
      </c>
      <c r="K29" s="18">
        <f>IF(I29=0, 0,IF(Segments!$D$26="Chlorine", I29/(0.2828*F29^2.69*E29^0.15*0.933^(G29-5)), IF(Segments!$D$26="Chlorine Dioxide", ((I29*G29^0.49)+0.18)/23.85, IF(Segments!$D$26="Ozone",((I29*EXP(0.072*G29)-0.01)/0.98),IF(Segments!$D$26="Chloramines", (I29/(858.5-(24.3*G29))), 0)))))</f>
        <v>0</v>
      </c>
      <c r="L29" s="25">
        <f t="shared" si="16"/>
        <v>0</v>
      </c>
      <c r="M29" s="19">
        <f t="shared" si="17"/>
        <v>0</v>
      </c>
      <c r="N29" s="15"/>
      <c r="O29" s="80"/>
      <c r="P29" s="3" t="str">
        <f>Segments!$C$26</f>
        <v>Sedimentation</v>
      </c>
      <c r="Q29" s="33">
        <v>1400</v>
      </c>
      <c r="R29" s="33">
        <v>12</v>
      </c>
      <c r="S29" s="33">
        <v>0</v>
      </c>
      <c r="T29" s="33">
        <v>6.9</v>
      </c>
      <c r="U29" s="35">
        <v>19</v>
      </c>
      <c r="V29" s="28">
        <f>IF(Segments!$C$26="Not In Use",0, (IF(Segments!$F$26="Rectangular",Segments!$D$29*R29-Segments!$D$30, IF(Segments!$C$26="Pipe",Segments!$D$29,Segments!$D$29*R29))))</f>
        <v>0</v>
      </c>
      <c r="W29" s="31">
        <f>IF(Segments!$C$4="Not In Use", 0, IF(Q29=0,0,V29*S29/Q29))</f>
        <v>0</v>
      </c>
      <c r="X29" s="19">
        <f>IF(W29=0, 0,IF(Segments!$D$26="Chlorine", (W29*EXP(0.071*U29)-0.42)/2.94, IF(Segments!$D$26="Chlorine Dioxide", (W29*EXP(0.072*U29)+35.15)/21.25, IF(Segments!$D$26="Ozone", (W29*EXP(0.068*U29)-0.01)/0.47, IF(Segments!$D$26="Chloramines", (W29*EXP(0.071*U29)+410.7)/849.5, 0)))))</f>
        <v>0</v>
      </c>
      <c r="Y29" s="18">
        <f>IF(W29=0, 0,IF(Segments!$D$26="Chlorine", W29/(0.2828*T29^2.69*S29^0.15*0.933^(U29-5)), IF(Segments!$D$26="Chlorine Dioxide", ((W29*U29^0.49)+0.18)/23.85, IF(Segments!$D$26="Ozone",((W29*EXP(0.072*U29)-0.01)/0.98),IF(Segments!$D$26="Chloramines", (W29/(858.5-(24.3*U29))), 0)))))</f>
        <v>0</v>
      </c>
      <c r="Z29" s="25">
        <f t="shared" si="18"/>
        <v>0</v>
      </c>
      <c r="AA29" s="19">
        <f t="shared" si="19"/>
        <v>0</v>
      </c>
      <c r="AC29" s="80"/>
      <c r="AD29" s="3" t="str">
        <f>Segments!$C$26</f>
        <v>Sedimentation</v>
      </c>
      <c r="AE29" s="33"/>
      <c r="AF29" s="33"/>
      <c r="AG29" s="33"/>
      <c r="AH29" s="33"/>
      <c r="AI29" s="35"/>
      <c r="AJ29" s="28">
        <f>IF(Segments!$C$26="Not In Use",0, (IF(Segments!$F$26="Rectangular",Segments!$D$29*AF29-Segments!$D$30, IF(Segments!$C$26="Pipe",Segments!$D$29,Segments!$D$29*AF29))))</f>
        <v>0</v>
      </c>
      <c r="AK29" s="31">
        <f>IF(Segments!$C$4="Not In Use", 0, IF(AE29=0,0,AJ29*AG29/AE29))</f>
        <v>0</v>
      </c>
      <c r="AL29" s="19">
        <f>IF(AK29=0, 0,IF(Segments!$D$26="Chlorine", (AK29*EXP(0.071*AI29)-0.42)/2.94, IF(Segments!$D$26="Chlorine Dioxide", (AK29*EXP(0.072*AI29)+35.15)/21.25, IF(Segments!$D$26="Ozone", (AK29*EXP(0.068*AI29)-0.01)/0.47, IF(Segments!$D$26="Chloramines", (AK29*EXP(0.071*AI29)+410.7)/849.5, 0)))))</f>
        <v>0</v>
      </c>
      <c r="AM29" s="18">
        <f>IF(AK29=0, 0,IF(Segments!$D$26="Chlorine", AK29/(0.2828*AH29^2.69*AG29^0.15*0.933^(AI29-5)), IF(Segments!$D$26="Chlorine Dioxide", ((AK29*AI29^0.49)+0.18)/23.85, IF(Segments!$D$26="Ozone",((AK29*EXP(0.072*AI29)-0.01)/0.98),IF(Segments!$D$26="Chloramines", (AK29/(858.5-(24.3*AI29))), 0)))))</f>
        <v>0</v>
      </c>
      <c r="AN29" s="25">
        <f t="shared" si="20"/>
        <v>0</v>
      </c>
      <c r="AO29" s="19">
        <f t="shared" si="21"/>
        <v>0</v>
      </c>
      <c r="AQ29" s="80"/>
      <c r="AR29" s="3" t="str">
        <f>Segments!$C$26</f>
        <v>Sedimentation</v>
      </c>
      <c r="AS29" s="33"/>
      <c r="AT29" s="33"/>
      <c r="AU29" s="33"/>
      <c r="AV29" s="33"/>
      <c r="AW29" s="35"/>
      <c r="AX29" s="28">
        <f>IF(Segments!$C$26="Not In Use",0, (IF(Segments!$F$26="Rectangular",Segments!$D$29*AT29-Segments!$D$30, IF(Segments!$C$26="Pipe",Segments!$D$29,Segments!$D$29*AT29))))</f>
        <v>0</v>
      </c>
      <c r="AY29" s="31">
        <f>IF(Segments!$C$4="Not In Use", 0, IF(AS29=0,0,AX29*AU29/AS29))</f>
        <v>0</v>
      </c>
      <c r="AZ29" s="19">
        <f>IF(AY29=0, 0,IF(Segments!$D$26="Chlorine", (AY29*EXP(0.071*AW29)-0.42)/2.94, IF(Segments!$D$26="Chlorine Dioxide", (AY29*EXP(0.072*AW29)+35.15)/21.25, IF(Segments!$D$26="Ozone", (AY29*EXP(0.068*AW29)-0.01)/0.47, IF(Segments!$D$26="Chloramines", (AY29*EXP(0.071*AW29)+410.7)/849.5, 0)))))</f>
        <v>0</v>
      </c>
      <c r="BA29" s="18">
        <f>IF(AY29=0, 0,IF(Segments!$D$26="Chlorine", AY29/(0.2828*AV29^2.69*AU29^0.15*0.933^(AW29-5)), IF(Segments!$D$26="Chlorine Dioxide", ((AY29*AW29^0.49)+0.18)/23.85, IF(Segments!$D$26="Ozone",((AY29*EXP(0.072*AW29)-0.01)/0.98),IF(Segments!$D$26="Chloramines", (AY29/(858.5-(24.3*AW29))), 0)))))</f>
        <v>0</v>
      </c>
      <c r="BB29" s="25">
        <f t="shared" si="22"/>
        <v>0</v>
      </c>
      <c r="BC29" s="19">
        <f t="shared" si="23"/>
        <v>0</v>
      </c>
    </row>
    <row r="30" spans="1:55" ht="13.5" thickBot="1" x14ac:dyDescent="0.25">
      <c r="A30" s="80"/>
      <c r="B30" s="3" t="str">
        <f>Segments!$C$39</f>
        <v>Filtration</v>
      </c>
      <c r="C30" s="33">
        <v>1400</v>
      </c>
      <c r="D30" s="33">
        <v>5</v>
      </c>
      <c r="E30" s="33">
        <v>0.5</v>
      </c>
      <c r="F30" s="33">
        <v>6.9</v>
      </c>
      <c r="G30" s="35">
        <v>19</v>
      </c>
      <c r="H30" s="28">
        <f>IF(Segments!$C$39="Not In Use",0, (IF(Segments!$F$39="Rectangular",Segments!$D$42*D30-Segments!$D$43, IF(Segments!$C$39="Pipe",Segments!$D$42,Segments!$D$42*D30))))</f>
        <v>13669.7</v>
      </c>
      <c r="I30" s="31">
        <f>IF(Segments!$C$4="Not In Use", 0, IF(C30=0,0,H30*E30/C30))</f>
        <v>4.8820357142857143</v>
      </c>
      <c r="J30" s="19">
        <f>IF(I30=0, 0,IF(Segments!$D$39="Chlorine", (I30*EXP(0.071*G30)-0.42)/2.94, IF(Segments!$D$39="Chlorine Dioxide", (I30*EXP(0.072*G30)+35.15)/21.25, IF(Segments!$D$39="Ozone", (I30*EXP(0.068*G30)-0.01)/0.47, IF(Segments!$D$39="Chloramines", (I30*EXP(0.071*G30)+410.7)/849.5, 0)))))</f>
        <v>6.2562131053608159</v>
      </c>
      <c r="K30" s="18">
        <f>IF(I30=0, 0,IF(Segments!$D$39="Chlorine", I30/(0.2828*F30^2.69*E30^0.15*0.933^(G30-5)), IF(Segments!$D$39="Chlorine Dioxide", ((I30*G30^0.49)+0.18)/23.85, IF(Segments!$D$39="Ozone", (I30*EXP(0.072*G30)-0.01)/0.98, IF(Segments!$D$39="Chloramines", (I30/(858.5-(24.3*G30))), 0)))))</f>
        <v>0.28017474145721827</v>
      </c>
      <c r="L30" s="25">
        <f t="shared" si="16"/>
        <v>1.564053276340204</v>
      </c>
      <c r="M30" s="19">
        <f t="shared" si="17"/>
        <v>9.3391580485739423E-2</v>
      </c>
      <c r="N30" s="15"/>
      <c r="O30" s="80"/>
      <c r="P30" s="3" t="str">
        <f>Segments!$C$39</f>
        <v>Filtration</v>
      </c>
      <c r="Q30" s="33">
        <v>1400</v>
      </c>
      <c r="R30" s="33">
        <v>5</v>
      </c>
      <c r="S30" s="33">
        <v>0.5</v>
      </c>
      <c r="T30" s="33">
        <v>6.9</v>
      </c>
      <c r="U30" s="35">
        <v>19</v>
      </c>
      <c r="V30" s="28">
        <f>IF(Segments!$C$39="Not In Use",0, (IF(Segments!$F$39="Rectangular",Segments!$D$42*R30-Segments!$D$43, IF(Segments!$C$39="Pipe",Segments!$D$42,Segments!$D$42*R30))))</f>
        <v>13669.7</v>
      </c>
      <c r="W30" s="31">
        <f>IF(Segments!$C$4="Not In Use", 0, IF(Q30=0,0,V30*S30/Q30))</f>
        <v>4.8820357142857143</v>
      </c>
      <c r="X30" s="19">
        <f>IF(W30=0, 0,IF(Segments!$D$39="Chlorine", (W30*EXP(0.071*U30)-0.42)/2.94, IF(Segments!$D$39="Chlorine Dioxide", (W30*EXP(0.072*U30)+35.15)/21.25, IF(Segments!$D$39="Ozone", (W30*EXP(0.068*U30)-0.01)/0.47, IF(Segments!$D$39="Chloramines", (W30*EXP(0.071*U30)+410.7)/849.5, 0)))))</f>
        <v>6.2562131053608159</v>
      </c>
      <c r="Y30" s="18">
        <f>IF(W30=0, 0,IF(Segments!$D$39="Chlorine", W30/(0.2828*T30^2.69*S30^0.15*0.933^(U30-5)), IF(Segments!$D$39="Chlorine Dioxide", ((W30*U30^0.49)+0.18)/23.85, IF(Segments!$D$39="Ozone", (W30*EXP(0.072*U30)-0.01)/0.98, IF(Segments!$D$39="Chloramines", (W30/(858.5-(24.3*U30))), 0)))))</f>
        <v>0.28017474145721827</v>
      </c>
      <c r="Z30" s="25">
        <f t="shared" si="18"/>
        <v>1.564053276340204</v>
      </c>
      <c r="AA30" s="19">
        <f t="shared" si="19"/>
        <v>9.3391580485739423E-2</v>
      </c>
      <c r="AC30" s="80"/>
      <c r="AD30" s="3" t="str">
        <f>Segments!$C$39</f>
        <v>Filtration</v>
      </c>
      <c r="AE30" s="33"/>
      <c r="AF30" s="33"/>
      <c r="AG30" s="33"/>
      <c r="AH30" s="33"/>
      <c r="AI30" s="35"/>
      <c r="AJ30" s="28">
        <f>IF(Segments!$C$39="Not In Use",0, (IF(Segments!$F$39="Rectangular",Segments!$D$42*AF30-Segments!$D$43, IF(Segments!$C$39="Pipe",Segments!$D$42,Segments!$D$42*AF30))))</f>
        <v>0</v>
      </c>
      <c r="AK30" s="31">
        <f>IF(Segments!$C$4="Not In Use", 0, IF(AE30=0,0,AJ30*AG30/AE30))</f>
        <v>0</v>
      </c>
      <c r="AL30" s="19">
        <f>IF(AK30=0, 0,IF(Segments!$D$39="Chlorine", (AK30*EXP(0.071*AI30)-0.42)/2.94, IF(Segments!$D$39="Chlorine Dioxide", (AK30*EXP(0.072*AI30)+35.15)/21.25, IF(Segments!$D$39="Ozone", (AK30*EXP(0.068*AI30)-0.01)/0.47, IF(Segments!$D$39="Chloramines", (AK30*EXP(0.071*AI30)+410.7)/849.5, 0)))))</f>
        <v>0</v>
      </c>
      <c r="AM30" s="18">
        <f>IF(AK30=0, 0,IF(Segments!$D$39="Chlorine", AK30/(0.2828*AH30^2.69*AG30^0.15*0.933^(AI30-5)), IF(Segments!$D$39="Chlorine Dioxide", ((AK30*AI30^0.49)+0.18)/23.85, IF(Segments!$D$39="Ozone", (AK30*EXP(0.072*AI30)-0.01)/0.98, IF(Segments!$D$39="Chloramines", (AK30/(858.5-(24.3*AI30))), 0)))))</f>
        <v>0</v>
      </c>
      <c r="AN30" s="25">
        <f t="shared" si="20"/>
        <v>0</v>
      </c>
      <c r="AO30" s="19">
        <f t="shared" si="21"/>
        <v>0</v>
      </c>
      <c r="AQ30" s="80"/>
      <c r="AR30" s="3" t="str">
        <f>Segments!$C$39</f>
        <v>Filtration</v>
      </c>
      <c r="AS30" s="33"/>
      <c r="AT30" s="33"/>
      <c r="AU30" s="33"/>
      <c r="AV30" s="33"/>
      <c r="AW30" s="35"/>
      <c r="AX30" s="28">
        <f>IF(Segments!$C$39="Not In Use",0, (IF(Segments!$F$39="Rectangular",Segments!$D$42*AT30-Segments!$D$43, IF(Segments!$C$39="Pipe",Segments!$D$42,Segments!$D$42*AT30))))</f>
        <v>0</v>
      </c>
      <c r="AY30" s="31">
        <f>IF(Segments!$C$4="Not In Use", 0, IF(AS30=0,0,AX30*AU30/AS30))</f>
        <v>0</v>
      </c>
      <c r="AZ30" s="19">
        <f>IF(AY30=0, 0,IF(Segments!$D$39="Chlorine", (AY30*EXP(0.071*AW30)-0.42)/2.94, IF(Segments!$D$39="Chlorine Dioxide", (AY30*EXP(0.072*AW30)+35.15)/21.25, IF(Segments!$D$39="Ozone", (AY30*EXP(0.068*AW30)-0.01)/0.47, IF(Segments!$D$39="Chloramines", (AY30*EXP(0.071*AW30)+410.7)/849.5, 0)))))</f>
        <v>0</v>
      </c>
      <c r="BA30" s="18">
        <f>IF(AY30=0, 0,IF(Segments!$D$39="Chlorine", AY30/(0.2828*AV30^2.69*AU30^0.15*0.933^(AW30-5)), IF(Segments!$D$39="Chlorine Dioxide", ((AY30*AW30^0.49)+0.18)/23.85, IF(Segments!$D$39="Ozone", (AY30*EXP(0.072*AW30)-0.01)/0.98, IF(Segments!$D$39="Chloramines", (AY30/(858.5-(24.3*AW30))), 0)))))</f>
        <v>0</v>
      </c>
      <c r="BB30" s="25">
        <f t="shared" si="22"/>
        <v>0</v>
      </c>
      <c r="BC30" s="19">
        <f t="shared" si="23"/>
        <v>0</v>
      </c>
    </row>
    <row r="31" spans="1:55" ht="13.5" thickBot="1" x14ac:dyDescent="0.25">
      <c r="A31" s="80"/>
      <c r="B31" s="3" t="str">
        <f>Segments!$C$50</f>
        <v>Clearwell</v>
      </c>
      <c r="C31" s="33">
        <v>1400</v>
      </c>
      <c r="D31" s="33">
        <v>10</v>
      </c>
      <c r="E31" s="33">
        <v>1.5</v>
      </c>
      <c r="F31" s="33">
        <v>7</v>
      </c>
      <c r="G31" s="35">
        <v>19</v>
      </c>
      <c r="H31" s="28">
        <f>IF(Segments!$C$50="Not In Use",0, (IF(Segments!$F$50="Rectangular",Segments!$D$53*D31-Segments!$D$54, IF(Segments!$C$50="Pipe",Segments!$D$53,Segments!$D$53*D31))))</f>
        <v>99184.800000000017</v>
      </c>
      <c r="I31" s="31">
        <f>IF(Segments!$C$4="Not In Use", 0, IF(C31=0,0,H31*E31/C31))</f>
        <v>106.26942857142858</v>
      </c>
      <c r="J31" s="19">
        <f>IF(I31=0, 0,IF(Segments!$D$50="Chlorine", (I31*EXP(0.071*G31)-0.42)/2.94, IF(Segments!$D$50="Chlorine Dioxide", (I31*EXP(0.072*G31)+35.15)/21.25, IF(Segments!$D$50="Ozone", (I31*EXP(0.068*G31)-0.01)/0.47, IF(Segments!$D$50="Chloramines", (I31*EXP(0.071*G31)+410.7)/849.5, 0)))))</f>
        <v>139.14853244625934</v>
      </c>
      <c r="K31" s="18">
        <f>IF(I31=0, 0,IF(Segments!$D$50="Chlorine", I31/(0.2828*F31^2.69*E31^0.15*0.933^(G31-5)), IF(Segments!$D$50="Chlorine Dioxide", ((I31*G31^0.49)+0.18)/23.85, IF(Segments!$D$50="Ozone", (I31*EXP(0.072*G31)-0.01)/0.98, IF(Segments!$D$50="Chloramines", (I31/(858.5-(24.3*G31))), 0)))))</f>
        <v>4.9757495366863838</v>
      </c>
      <c r="L31" s="25">
        <f t="shared" si="16"/>
        <v>34.787133111564835</v>
      </c>
      <c r="M31" s="19">
        <f t="shared" si="17"/>
        <v>1.6585831788954613</v>
      </c>
      <c r="N31" s="15"/>
      <c r="O31" s="80"/>
      <c r="P31" s="3" t="str">
        <f>Segments!$C$50</f>
        <v>Clearwell</v>
      </c>
      <c r="Q31" s="33">
        <v>1400</v>
      </c>
      <c r="R31" s="33">
        <v>10</v>
      </c>
      <c r="S31" s="33">
        <v>1.5</v>
      </c>
      <c r="T31" s="33">
        <v>7</v>
      </c>
      <c r="U31" s="35">
        <v>19</v>
      </c>
      <c r="V31" s="28">
        <f>IF(Segments!$C$50="Not In Use",0, (IF(Segments!$F$50="Rectangular",Segments!$D$53*R31-Segments!$D$54, IF(Segments!$C$50="Pipe",Segments!$D$53,Segments!$D$53*R31))))</f>
        <v>99184.800000000017</v>
      </c>
      <c r="W31" s="31">
        <f>IF(Segments!$C$4="Not In Use", 0, IF(Q31=0,0,V31*S31/Q31))</f>
        <v>106.26942857142858</v>
      </c>
      <c r="X31" s="19">
        <f>IF(W31=0, 0,IF(Segments!$D$50="Chlorine", (W31*EXP(0.071*U31)-0.42)/2.94, IF(Segments!$D$50="Chlorine Dioxide", (W31*EXP(0.072*U31)+35.15)/21.25, IF(Segments!$D$50="Ozone", (W31*EXP(0.068*U31)-0.01)/0.47, IF(Segments!$D$50="Chloramines", (W31*EXP(0.071*U31)+410.7)/849.5, 0)))))</f>
        <v>139.14853244625934</v>
      </c>
      <c r="Y31" s="18">
        <f>IF(W31=0, 0,IF(Segments!$D$50="Chlorine", W31/(0.2828*T31^2.69*S31^0.15*0.933^(U31-5)), IF(Segments!$D$50="Chlorine Dioxide", ((W31*U31^0.49)+0.18)/23.85, IF(Segments!$D$50="Ozone", (W31*EXP(0.072*U31)-0.01)/0.98, IF(Segments!$D$50="Chloramines", (W31/(858.5-(24.3*U31))), 0)))))</f>
        <v>4.9757495366863838</v>
      </c>
      <c r="Z31" s="25">
        <f t="shared" si="18"/>
        <v>34.787133111564835</v>
      </c>
      <c r="AA31" s="19">
        <f t="shared" si="19"/>
        <v>1.6585831788954613</v>
      </c>
      <c r="AC31" s="80"/>
      <c r="AD31" s="3" t="str">
        <f>Segments!$C$50</f>
        <v>Clearwell</v>
      </c>
      <c r="AE31" s="33"/>
      <c r="AF31" s="33"/>
      <c r="AG31" s="33"/>
      <c r="AH31" s="33"/>
      <c r="AI31" s="35"/>
      <c r="AJ31" s="28">
        <f>IF(Segments!$C$50="Not In Use",0, (IF(Segments!$F$50="Rectangular",Segments!$D$53*AF31-Segments!$D$54, IF(Segments!$C$50="Pipe",Segments!$D$53,Segments!$D$53*AF31))))</f>
        <v>0</v>
      </c>
      <c r="AK31" s="31">
        <f>IF(Segments!$C$4="Not In Use", 0, IF(AE31=0,0,AJ31*AG31/AE31))</f>
        <v>0</v>
      </c>
      <c r="AL31" s="19">
        <f>IF(AK31=0, 0,IF(Segments!$D$50="Chlorine", (AK31*EXP(0.071*AI31)-0.42)/2.94, IF(Segments!$D$50="Chlorine Dioxide", (AK31*EXP(0.072*AI31)+35.15)/21.25, IF(Segments!$D$50="Ozone", (AK31*EXP(0.068*AI31)-0.01)/0.47, IF(Segments!$D$50="Chloramines", (AK31*EXP(0.071*AI31)+410.7)/849.5, 0)))))</f>
        <v>0</v>
      </c>
      <c r="AM31" s="18">
        <f>IF(AK31=0, 0,IF(Segments!$D$50="Chlorine", AK31/(0.2828*AH31^2.69*AG31^0.15*0.933^(AI31-5)), IF(Segments!$D$50="Chlorine Dioxide", ((AK31*AI31^0.49)+0.18)/23.85, IF(Segments!$D$50="Ozone", (AK31*EXP(0.072*AI31)-0.01)/0.98, IF(Segments!$D$50="Chloramines", (AK31/(858.5-(24.3*AI31))), 0)))))</f>
        <v>0</v>
      </c>
      <c r="AN31" s="25">
        <f t="shared" si="20"/>
        <v>0</v>
      </c>
      <c r="AO31" s="19">
        <f t="shared" si="21"/>
        <v>0</v>
      </c>
      <c r="AQ31" s="80"/>
      <c r="AR31" s="3" t="str">
        <f>Segments!$C$50</f>
        <v>Clearwell</v>
      </c>
      <c r="AS31" s="33"/>
      <c r="AT31" s="33"/>
      <c r="AU31" s="33"/>
      <c r="AV31" s="33"/>
      <c r="AW31" s="35"/>
      <c r="AX31" s="28">
        <f>IF(Segments!$C$50="Not In Use",0, (IF(Segments!$F$50="Rectangular",Segments!$D$53*AT31-Segments!$D$54, IF(Segments!$C$50="Pipe",Segments!$D$53,Segments!$D$53*AT31))))</f>
        <v>0</v>
      </c>
      <c r="AY31" s="31">
        <f>IF(Segments!$C$4="Not In Use", 0, IF(AS31=0,0,AX31*AU31/AS31))</f>
        <v>0</v>
      </c>
      <c r="AZ31" s="19">
        <f>IF(AY31=0, 0,IF(Segments!$D$50="Chlorine", (AY31*EXP(0.071*AW31)-0.42)/2.94, IF(Segments!$D$50="Chlorine Dioxide", (AY31*EXP(0.072*AW31)+35.15)/21.25, IF(Segments!$D$50="Ozone", (AY31*EXP(0.068*AW31)-0.01)/0.47, IF(Segments!$D$50="Chloramines", (AY31*EXP(0.071*AW31)+410.7)/849.5, 0)))))</f>
        <v>0</v>
      </c>
      <c r="BA31" s="18">
        <f>IF(AY31=0, 0,IF(Segments!$D$50="Chlorine", AY31/(0.2828*AV31^2.69*AU31^0.15*0.933^(AW31-5)), IF(Segments!$D$50="Chlorine Dioxide", ((AY31*AW31^0.49)+0.18)/23.85, IF(Segments!$D$50="Ozone", (AY31*EXP(0.072*AW31)-0.01)/0.98, IF(Segments!$D$50="Chloramines", (AY31/(858.5-(24.3*AW31))), 0)))))</f>
        <v>0</v>
      </c>
      <c r="BB31" s="25">
        <f t="shared" si="22"/>
        <v>0</v>
      </c>
      <c r="BC31" s="19">
        <f t="shared" si="23"/>
        <v>0</v>
      </c>
    </row>
    <row r="32" spans="1:55" ht="13.5" thickBot="1" x14ac:dyDescent="0.25">
      <c r="A32" s="80"/>
      <c r="B32" s="3" t="str">
        <f>Segments!$C$61</f>
        <v>Not In Use</v>
      </c>
      <c r="C32" s="33"/>
      <c r="D32" s="33"/>
      <c r="E32" s="33"/>
      <c r="F32" s="33"/>
      <c r="G32" s="35"/>
      <c r="H32" s="28">
        <f>IF(Segments!$C$61="Not In Use",0, (IF(Segments!$F$61="Rectangular",Segments!$D$64*D32-Segments!$D$65, IF(Segments!$C$61="Pipe",Segments!$D$64,Segments!$D$64*D32))))</f>
        <v>0</v>
      </c>
      <c r="I32" s="31">
        <f>IF(Segments!$C$4="Not In Use", 0, IF(C32=0,0,H32*E32/C32))</f>
        <v>0</v>
      </c>
      <c r="J32" s="19">
        <f>IF(I32=0, 0,IF(Segments!$D$61="Chlorine", (I32*EXP(0.071*G32)-0.42)/2.94, IF(Segments!$D$61="Chlorine Dioxide", (I32*EXP(0.072*G32)+35.15)/21.25, IF(Segments!$D$61="Ozone", (I32*EXP(0.068*G32)-0.01)/0.47, IF(Segments!$D$61="Chloramines", (I32*EXP(0.071*G32)+410.7)/849.5, 0)))))</f>
        <v>0</v>
      </c>
      <c r="K32" s="18">
        <f>IF(I32=0, 0,IF(Segments!$D$61="Chlorine", I32/(0.2828*F32^2.69*E32^0.15*0.933^(G32-5)), IF(Segments!$D$61="Chlorine Dioxide", ((I32*G32^0.49)+0.18)/23.85, IF(Segments!$D$61="Ozone", (I32*EXP(0.072*G32)-0.01)/0.98, IF(Segments!$D$61="Chloramines", (I32/(858.5-(24.3*G32))), 0)))))</f>
        <v>0</v>
      </c>
      <c r="L32" s="25">
        <f t="shared" si="16"/>
        <v>0</v>
      </c>
      <c r="M32" s="19">
        <f t="shared" si="17"/>
        <v>0</v>
      </c>
      <c r="N32" s="15"/>
      <c r="O32" s="80"/>
      <c r="P32" s="3" t="str">
        <f>Segments!$C$61</f>
        <v>Not In Use</v>
      </c>
      <c r="Q32" s="33"/>
      <c r="R32" s="33"/>
      <c r="S32" s="33"/>
      <c r="T32" s="33"/>
      <c r="U32" s="35"/>
      <c r="V32" s="28">
        <f>IF(Segments!$C$61="Not In Use",0, (IF(Segments!$F$61="Rectangular",Segments!$D$64*R32-Segments!$D$65, IF(Segments!$C$61="Pipe",Segments!$D$64,Segments!$D$64*R32))))</f>
        <v>0</v>
      </c>
      <c r="W32" s="31">
        <f>IF(Segments!$C$4="Not In Use", 0, IF(Q32=0,0,V32*S32/Q32))</f>
        <v>0</v>
      </c>
      <c r="X32" s="19">
        <f>IF(W32=0, 0,IF(Segments!$D$61="Chlorine", (W32*EXP(0.071*U32)-0.42)/2.94, IF(Segments!$D$61="Chlorine Dioxide", (W32*EXP(0.072*U32)+35.15)/21.25, IF(Segments!$D$61="Ozone", (W32*EXP(0.068*U32)-0.01)/0.47, IF(Segments!$D$61="Chloramines", (W32*EXP(0.071*U32)+410.7)/849.5, 0)))))</f>
        <v>0</v>
      </c>
      <c r="Y32" s="18">
        <f>IF(W32=0, 0,IF(Segments!$D$61="Chlorine", W32/(0.2828*T32^2.69*S32^0.15*0.933^(U32-5)), IF(Segments!$D$61="Chlorine Dioxide", ((W32*U32^0.49)+0.18)/23.85, IF(Segments!$D$61="Ozone", (W32*EXP(0.072*U32)-0.01)/0.98, IF(Segments!$D$61="Chloramines", (W32/(858.5-(24.3*U32))), 0)))))</f>
        <v>0</v>
      </c>
      <c r="Z32" s="25">
        <f t="shared" si="18"/>
        <v>0</v>
      </c>
      <c r="AA32" s="19">
        <f t="shared" si="19"/>
        <v>0</v>
      </c>
      <c r="AC32" s="80"/>
      <c r="AD32" s="3" t="str">
        <f>Segments!$C$61</f>
        <v>Not In Use</v>
      </c>
      <c r="AE32" s="33"/>
      <c r="AF32" s="33"/>
      <c r="AG32" s="33"/>
      <c r="AH32" s="33"/>
      <c r="AI32" s="35"/>
      <c r="AJ32" s="28">
        <f>IF(Segments!$C$61="Not In Use",0, (IF(Segments!$F$61="Rectangular",Segments!$D$64*AF32-Segments!$D$65, IF(Segments!$C$61="Pipe",Segments!$D$64,Segments!$D$64*AF32))))</f>
        <v>0</v>
      </c>
      <c r="AK32" s="31">
        <f>IF(Segments!$C$4="Not In Use", 0, IF(AE32=0,0,AJ32*AG32/AE32))</f>
        <v>0</v>
      </c>
      <c r="AL32" s="19">
        <f>IF(AK32=0, 0,IF(Segments!$D$61="Chlorine", (AK32*EXP(0.071*AI32)-0.42)/2.94, IF(Segments!$D$61="Chlorine Dioxide", (AK32*EXP(0.072*AI32)+35.15)/21.25, IF(Segments!$D$61="Ozone", (AK32*EXP(0.068*AI32)-0.01)/0.47, IF(Segments!$D$61="Chloramines", (AK32*EXP(0.071*AI32)+410.7)/849.5, 0)))))</f>
        <v>0</v>
      </c>
      <c r="AM32" s="18">
        <f>IF(AK32=0, 0,IF(Segments!$D$61="Chlorine", AK32/(0.2828*AH32^2.69*AG32^0.15*0.933^(AI32-5)), IF(Segments!$D$61="Chlorine Dioxide", ((AK32*AI32^0.49)+0.18)/23.85, IF(Segments!$D$61="Ozone", (AK32*EXP(0.072*AI32)-0.01)/0.98, IF(Segments!$D$61="Chloramines", (AK32/(858.5-(24.3*AI32))), 0)))))</f>
        <v>0</v>
      </c>
      <c r="AN32" s="25">
        <f t="shared" si="20"/>
        <v>0</v>
      </c>
      <c r="AO32" s="19">
        <f t="shared" si="21"/>
        <v>0</v>
      </c>
      <c r="AQ32" s="80"/>
      <c r="AR32" s="3" t="str">
        <f>Segments!$C$61</f>
        <v>Not In Use</v>
      </c>
      <c r="AS32" s="33"/>
      <c r="AT32" s="33"/>
      <c r="AU32" s="33"/>
      <c r="AV32" s="33"/>
      <c r="AW32" s="35"/>
      <c r="AX32" s="28">
        <f>IF(Segments!$C$61="Not In Use",0, (IF(Segments!$F$61="Rectangular",Segments!$D$64*AT32-Segments!$D$65, IF(Segments!$C$61="Pipe",Segments!$D$64,Segments!$D$64*AT32))))</f>
        <v>0</v>
      </c>
      <c r="AY32" s="31">
        <f>IF(Segments!$C$4="Not In Use", 0, IF(AS32=0,0,AX32*AU32/AS32))</f>
        <v>0</v>
      </c>
      <c r="AZ32" s="19">
        <f>IF(AY32=0, 0,IF(Segments!$D$61="Chlorine", (AY32*EXP(0.071*AW32)-0.42)/2.94, IF(Segments!$D$61="Chlorine Dioxide", (AY32*EXP(0.072*AW32)+35.15)/21.25, IF(Segments!$D$61="Ozone", (AY32*EXP(0.068*AW32)-0.01)/0.47, IF(Segments!$D$61="Chloramines", (AY32*EXP(0.071*AW32)+410.7)/849.5, 0)))))</f>
        <v>0</v>
      </c>
      <c r="BA32" s="18">
        <f>IF(AY32=0, 0,IF(Segments!$D$61="Chlorine", AY32/(0.2828*AV32^2.69*AU32^0.15*0.933^(AW32-5)), IF(Segments!$D$61="Chlorine Dioxide", ((AY32*AW32^0.49)+0.18)/23.85, IF(Segments!$D$61="Ozone", (AY32*EXP(0.072*AW32)-0.01)/0.98, IF(Segments!$D$61="Chloramines", (AY32/(858.5-(24.3*AW32))), 0)))))</f>
        <v>0</v>
      </c>
      <c r="BB32" s="25">
        <f t="shared" si="22"/>
        <v>0</v>
      </c>
      <c r="BC32" s="19">
        <f t="shared" si="23"/>
        <v>0</v>
      </c>
    </row>
    <row r="33" spans="1:55" ht="13.5" thickBot="1" x14ac:dyDescent="0.25">
      <c r="A33" s="80"/>
      <c r="B33" s="3" t="str">
        <f>Segments!$C$74</f>
        <v>Not In Use</v>
      </c>
      <c r="C33" s="33"/>
      <c r="D33" s="33"/>
      <c r="E33" s="33"/>
      <c r="F33" s="33"/>
      <c r="G33" s="35"/>
      <c r="H33" s="28">
        <f>IF(Segments!$C$74="Not In Use",0, (IF(Segments!$F$74="Rectangular",Segments!$D$77*D33-Segments!$D$78, IF(Segments!$C$74="Pipe",Segments!$D$77,Segments!$D$77*D33))))</f>
        <v>0</v>
      </c>
      <c r="I33" s="31">
        <f>IF(Segments!$C$4="Not In Use", 0, IF(C33=0,0,H33*E33/C33))</f>
        <v>0</v>
      </c>
      <c r="J33" s="19">
        <f>IF(I33=0, 0,IF(Segments!$D$74="Chlorine", (I33*EXP(0.071*G33)-0.42)/2.94, IF(Segments!$D$74="Chlorine Dioxide", (I33*EXP(0.072*G33)+35.15)/21.25, IF(Segments!$D$74="Ozone", (I33*EXP(0.068*G33)-0.01)/0.47, IF(Segments!$D$74="Chloramines", (I33*EXP(0.071*G33)+410.7)/849.5, 0)))))</f>
        <v>0</v>
      </c>
      <c r="K33" s="18">
        <f>IF(I33=0, 0,IF(Segments!$D$74="Chlorine", I33/(0.2828*F33^2.69*E33^0.15*0.933^(G33-5)), IF(Segments!$D$74="Chlorine Dioxide", ((I33*G33^0.49)+0.18)/23.85, IF(Segments!$D$74="Ozone", (I33*EXP(0.072*G33)-0.01)/0.98, IF(Segments!$D$74="Chloramines", (I33/(858.5-(24.3*G33))), 0)))))</f>
        <v>0</v>
      </c>
      <c r="L33" s="25">
        <f t="shared" si="16"/>
        <v>0</v>
      </c>
      <c r="M33" s="19">
        <f t="shared" si="17"/>
        <v>0</v>
      </c>
      <c r="N33" s="15"/>
      <c r="O33" s="80"/>
      <c r="P33" s="3" t="str">
        <f>Segments!$C$74</f>
        <v>Not In Use</v>
      </c>
      <c r="Q33" s="33"/>
      <c r="R33" s="33"/>
      <c r="S33" s="33"/>
      <c r="T33" s="33"/>
      <c r="U33" s="35"/>
      <c r="V33" s="28">
        <f>IF(Segments!$C$74="Not In Use",0, (IF(Segments!$F$74="Rectangular",Segments!$D$77*R33-Segments!$D$78, IF(Segments!$C$74="Pipe",Segments!$D$77,Segments!$D$77*R33))))</f>
        <v>0</v>
      </c>
      <c r="W33" s="31">
        <f>IF(Segments!$C$4="Not In Use", 0, IF(Q33=0,0,V33*S33/Q33))</f>
        <v>0</v>
      </c>
      <c r="X33" s="19">
        <f>IF(W33=0, 0,IF(Segments!$D$74="Chlorine", (W33*EXP(0.071*U33)-0.42)/2.94, IF(Segments!$D$74="Chlorine Dioxide", (W33*EXP(0.072*U33)+35.15)/21.25, IF(Segments!$D$74="Ozone", (W33*EXP(0.068*U33)-0.01)/0.47, IF(Segments!$D$74="Chloramines", (W33*EXP(0.071*U33)+410.7)/849.5, 0)))))</f>
        <v>0</v>
      </c>
      <c r="Y33" s="18">
        <f>IF(W33=0, 0,IF(Segments!$D$74="Chlorine", W33/(0.2828*T33^2.69*S33^0.15*0.933^(U33-5)), IF(Segments!$D$74="Chlorine Dioxide", ((W33*U33^0.49)+0.18)/23.85, IF(Segments!$D$74="Ozone", (W33*EXP(0.072*U33)-0.01)/0.98, IF(Segments!$D$74="Chloramines", (W33/(858.5-(24.3*U33))), 0)))))</f>
        <v>0</v>
      </c>
      <c r="Z33" s="25">
        <f t="shared" si="18"/>
        <v>0</v>
      </c>
      <c r="AA33" s="19">
        <f t="shared" si="19"/>
        <v>0</v>
      </c>
      <c r="AC33" s="80"/>
      <c r="AD33" s="3" t="str">
        <f>Segments!$C$74</f>
        <v>Not In Use</v>
      </c>
      <c r="AE33" s="33"/>
      <c r="AF33" s="33"/>
      <c r="AG33" s="33"/>
      <c r="AH33" s="33"/>
      <c r="AI33" s="35"/>
      <c r="AJ33" s="28">
        <f>IF(Segments!$C$74="Not In Use",0, (IF(Segments!$F$74="Rectangular",Segments!$D$77*AF33-Segments!$D$78, IF(Segments!$C$74="Pipe",Segments!$D$77,Segments!$D$77*AF33))))</f>
        <v>0</v>
      </c>
      <c r="AK33" s="31">
        <f>IF(Segments!$C$4="Not In Use", 0, IF(AE33=0,0,AJ33*AG33/AE33))</f>
        <v>0</v>
      </c>
      <c r="AL33" s="19">
        <f>IF(AK33=0, 0,IF(Segments!$D$74="Chlorine", (AK33*EXP(0.071*AI33)-0.42)/2.94, IF(Segments!$D$74="Chlorine Dioxide", (AK33*EXP(0.072*AI33)+35.15)/21.25, IF(Segments!$D$74="Ozone", (AK33*EXP(0.068*AI33)-0.01)/0.47, IF(Segments!$D$74="Chloramines", (AK33*EXP(0.071*AI33)+410.7)/849.5, 0)))))</f>
        <v>0</v>
      </c>
      <c r="AM33" s="18">
        <f>IF(AK33=0, 0,IF(Segments!$D$74="Chlorine", AK33/(0.2828*AH33^2.69*AG33^0.15*0.933^(AI33-5)), IF(Segments!$D$74="Chlorine Dioxide", ((AK33*AI33^0.49)+0.18)/23.85, IF(Segments!$D$74="Ozone", (AK33*EXP(0.072*AI33)-0.01)/0.98, IF(Segments!$D$74="Chloramines", (AK33/(858.5-(24.3*AI33))), 0)))))</f>
        <v>0</v>
      </c>
      <c r="AN33" s="25">
        <f t="shared" si="20"/>
        <v>0</v>
      </c>
      <c r="AO33" s="19">
        <f t="shared" si="21"/>
        <v>0</v>
      </c>
      <c r="AQ33" s="80"/>
      <c r="AR33" s="3" t="str">
        <f>Segments!$C$74</f>
        <v>Not In Use</v>
      </c>
      <c r="AS33" s="33"/>
      <c r="AT33" s="33"/>
      <c r="AU33" s="33"/>
      <c r="AV33" s="33"/>
      <c r="AW33" s="35"/>
      <c r="AX33" s="28">
        <f>IF(Segments!$C$74="Not In Use",0, (IF(Segments!$F$74="Rectangular",Segments!$D$77*AT33-Segments!$D$78, IF(Segments!$C$74="Pipe",Segments!$D$77,Segments!$D$77*AT33))))</f>
        <v>0</v>
      </c>
      <c r="AY33" s="31">
        <f>IF(Segments!$C$4="Not In Use", 0, IF(AS33=0,0,AX33*AU33/AS33))</f>
        <v>0</v>
      </c>
      <c r="AZ33" s="19">
        <f>IF(AY33=0, 0,IF(Segments!$D$74="Chlorine", (AY33*EXP(0.071*AW33)-0.42)/2.94, IF(Segments!$D$74="Chlorine Dioxide", (AY33*EXP(0.072*AW33)+35.15)/21.25, IF(Segments!$D$74="Ozone", (AY33*EXP(0.068*AW33)-0.01)/0.47, IF(Segments!$D$74="Chloramines", (AY33*EXP(0.071*AW33)+410.7)/849.5, 0)))))</f>
        <v>0</v>
      </c>
      <c r="BA33" s="18">
        <f>IF(AY33=0, 0,IF(Segments!$D$74="Chlorine", AY33/(0.2828*AV33^2.69*AU33^0.15*0.933^(AW33-5)), IF(Segments!$D$74="Chlorine Dioxide", ((AY33*AW33^0.49)+0.18)/23.85, IF(Segments!$D$74="Ozone", (AY33*EXP(0.072*AW33)-0.01)/0.98, IF(Segments!$D$74="Chloramines", (AY33/(858.5-(24.3*AW33))), 0)))))</f>
        <v>0</v>
      </c>
      <c r="BB33" s="25">
        <f t="shared" si="22"/>
        <v>0</v>
      </c>
      <c r="BC33" s="19">
        <f t="shared" si="23"/>
        <v>0</v>
      </c>
    </row>
    <row r="34" spans="1:55" ht="13.5" thickBot="1" x14ac:dyDescent="0.25">
      <c r="A34" s="80"/>
      <c r="B34" s="3" t="str">
        <f>Segments!$C$85</f>
        <v>Not In Use</v>
      </c>
      <c r="C34" s="33"/>
      <c r="D34" s="33"/>
      <c r="E34" s="33"/>
      <c r="F34" s="33"/>
      <c r="G34" s="35"/>
      <c r="H34" s="28">
        <f>IF(Segments!$C$85="Not In Use",0, (IF(Segments!$F$85="Rectangular",Segments!$D$88*D34-Segments!$D$89, IF(Segments!$C$85="Pipe",Segments!$D$88,Segments!$D$88*D34))))</f>
        <v>0</v>
      </c>
      <c r="I34" s="31">
        <f>IF(Segments!$C$4="Not In Use", 0, IF(C34=0,0,H34*E34/C34))</f>
        <v>0</v>
      </c>
      <c r="J34" s="19">
        <f>IF(I34=0, 0,IF(Segments!$D$85="Chlorine", (I34*EXP(0.071*G34)-0.42)/2.94, IF(Segments!$D$85="Chlorine Dioxide", (I34*EXP(0.072*G34)+35.15)/21.25, IF(Segments!$D$85="Ozone", (I34*EXP(0.068*G34)-0.01)/0.47, IF(Segments!$D$85="Chloramines", (I34*EXP(0.071*G34)+410.7)/849.5, 0)))))</f>
        <v>0</v>
      </c>
      <c r="K34" s="18">
        <f>IF(I34=0, 0,IF(Segments!$D$85="Chlorine", I34/(0.2828*F34^2.69*E34^0.15*0.933^(G34-5)), IF(Segments!$D$85="Chlorine Dioxide", ((I34*G34^0.49)+0.18)/23.85, IF(Segments!$D$85="Ozone", (I34*EXP(0.072*G34)-0.01)/0.98, IF(Segments!$D$85="Chloramines", (I34/(858.5-(24.3*G34))), 0)))))</f>
        <v>0</v>
      </c>
      <c r="L34" s="25">
        <f t="shared" si="16"/>
        <v>0</v>
      </c>
      <c r="M34" s="19">
        <f t="shared" si="17"/>
        <v>0</v>
      </c>
      <c r="N34" s="15"/>
      <c r="O34" s="80"/>
      <c r="P34" s="3" t="str">
        <f>Segments!$C$85</f>
        <v>Not In Use</v>
      </c>
      <c r="Q34" s="33"/>
      <c r="R34" s="33"/>
      <c r="S34" s="33"/>
      <c r="T34" s="33"/>
      <c r="U34" s="35"/>
      <c r="V34" s="28">
        <f>IF(Segments!$C$85="Not In Use",0, (IF(Segments!$F$85="Rectangular",Segments!$D$88*R34-Segments!$D$89, IF(Segments!$C$85="Pipe",Segments!$D$88,Segments!$D$88*R34))))</f>
        <v>0</v>
      </c>
      <c r="W34" s="31">
        <f>IF(Segments!$C$4="Not In Use", 0, IF(Q34=0,0,V34*S34/Q34))</f>
        <v>0</v>
      </c>
      <c r="X34" s="19">
        <f>IF(W34=0, 0,IF(Segments!$D$85="Chlorine", (W34*EXP(0.071*U34)-0.42)/2.94, IF(Segments!$D$85="Chlorine Dioxide", (W34*EXP(0.072*U34)+35.15)/21.25, IF(Segments!$D$85="Ozone", (W34*EXP(0.068*U34)-0.01)/0.47, IF(Segments!$D$85="Chloramines", (W34*EXP(0.071*U34)+410.7)/849.5, 0)))))</f>
        <v>0</v>
      </c>
      <c r="Y34" s="18">
        <f>IF(W34=0, 0,IF(Segments!$D$85="Chlorine", W34/(0.2828*T34^2.69*S34^0.15*0.933^(U34-5)), IF(Segments!$D$85="Chlorine Dioxide", ((W34*U34^0.49)+0.18)/23.85, IF(Segments!$D$85="Ozone", (W34*EXP(0.072*U34)-0.01)/0.98, IF(Segments!$D$85="Chloramines", (W34/(858.5-(24.3*U34))), 0)))))</f>
        <v>0</v>
      </c>
      <c r="Z34" s="25">
        <f t="shared" si="18"/>
        <v>0</v>
      </c>
      <c r="AA34" s="19">
        <f t="shared" si="19"/>
        <v>0</v>
      </c>
      <c r="AC34" s="80"/>
      <c r="AD34" s="3" t="str">
        <f>Segments!$C$85</f>
        <v>Not In Use</v>
      </c>
      <c r="AE34" s="33"/>
      <c r="AF34" s="33"/>
      <c r="AG34" s="33"/>
      <c r="AH34" s="33"/>
      <c r="AI34" s="35"/>
      <c r="AJ34" s="28">
        <f>IF(Segments!$C$85="Not In Use",0, (IF(Segments!$F$85="Rectangular",Segments!$D$88*AF34-Segments!$D$89, IF(Segments!$C$85="Pipe",Segments!$D$88,Segments!$D$88*AF34))))</f>
        <v>0</v>
      </c>
      <c r="AK34" s="31">
        <f>IF(Segments!$C$4="Not In Use", 0, IF(AE34=0,0,AJ34*AG34/AE34))</f>
        <v>0</v>
      </c>
      <c r="AL34" s="19">
        <f>IF(AK34=0, 0,IF(Segments!$D$85="Chlorine", (AK34*EXP(0.071*AI34)-0.42)/2.94, IF(Segments!$D$85="Chlorine Dioxide", (AK34*EXP(0.072*AI34)+35.15)/21.25, IF(Segments!$D$85="Ozone", (AK34*EXP(0.068*AI34)-0.01)/0.47, IF(Segments!$D$85="Chloramines", (AK34*EXP(0.071*AI34)+410.7)/849.5, 0)))))</f>
        <v>0</v>
      </c>
      <c r="AM34" s="18">
        <f>IF(AK34=0, 0,IF(Segments!$D$85="Chlorine", AK34/(0.2828*AH34^2.69*AG34^0.15*0.933^(AI34-5)), IF(Segments!$D$85="Chlorine Dioxide", ((AK34*AI34^0.49)+0.18)/23.85, IF(Segments!$D$85="Ozone", (AK34*EXP(0.072*AI34)-0.01)/0.98, IF(Segments!$D$85="Chloramines", (AK34/(858.5-(24.3*AI34))), 0)))))</f>
        <v>0</v>
      </c>
      <c r="AN34" s="25">
        <f t="shared" si="20"/>
        <v>0</v>
      </c>
      <c r="AO34" s="19">
        <f t="shared" si="21"/>
        <v>0</v>
      </c>
      <c r="AQ34" s="80"/>
      <c r="AR34" s="3" t="str">
        <f>Segments!$C$85</f>
        <v>Not In Use</v>
      </c>
      <c r="AS34" s="33"/>
      <c r="AT34" s="33"/>
      <c r="AU34" s="33"/>
      <c r="AV34" s="33"/>
      <c r="AW34" s="35"/>
      <c r="AX34" s="28">
        <f>IF(Segments!$C$85="Not In Use",0, (IF(Segments!$F$85="Rectangular",Segments!$D$88*AT34-Segments!$D$89, IF(Segments!$C$85="Pipe",Segments!$D$88,Segments!$D$88*AT34))))</f>
        <v>0</v>
      </c>
      <c r="AY34" s="31">
        <f>IF(Segments!$C$4="Not In Use", 0, IF(AS34=0,0,AX34*AU34/AS34))</f>
        <v>0</v>
      </c>
      <c r="AZ34" s="19">
        <f>IF(AY34=0, 0,IF(Segments!$D$85="Chlorine", (AY34*EXP(0.071*AW34)-0.42)/2.94, IF(Segments!$D$85="Chlorine Dioxide", (AY34*EXP(0.072*AW34)+35.15)/21.25, IF(Segments!$D$85="Ozone", (AY34*EXP(0.068*AW34)-0.01)/0.47, IF(Segments!$D$85="Chloramines", (AY34*EXP(0.071*AW34)+410.7)/849.5, 0)))))</f>
        <v>0</v>
      </c>
      <c r="BA34" s="18">
        <f>IF(AY34=0, 0,IF(Segments!$D$85="Chlorine", AY34/(0.2828*AV34^2.69*AU34^0.15*0.933^(AW34-5)), IF(Segments!$D$85="Chlorine Dioxide", ((AY34*AW34^0.49)+0.18)/23.85, IF(Segments!$D$85="Ozone", (AY34*EXP(0.072*AW34)-0.01)/0.98, IF(Segments!$D$85="Chloramines", (AY34/(858.5-(24.3*AW34))), 0)))))</f>
        <v>0</v>
      </c>
      <c r="BB34" s="25">
        <f t="shared" si="22"/>
        <v>0</v>
      </c>
      <c r="BC34" s="19">
        <f t="shared" si="23"/>
        <v>0</v>
      </c>
    </row>
    <row r="35" spans="1:55" ht="13.5" thickBot="1" x14ac:dyDescent="0.25">
      <c r="A35" s="80"/>
      <c r="B35" s="3" t="str">
        <f>Segments!$C$96</f>
        <v>Not In Use</v>
      </c>
      <c r="C35" s="36"/>
      <c r="D35" s="36"/>
      <c r="E35" s="36"/>
      <c r="F35" s="36"/>
      <c r="G35" s="34"/>
      <c r="H35" s="29">
        <f>IF(Segments!$C$96="Not In Use",0, (IF(Segments!$F$96="Rectangular",Segments!$D$99*D35-Segments!$D$100, IF(Segments!$C$96="Pipe",Segments!$D$99,Segments!$D$99*D35))))</f>
        <v>0</v>
      </c>
      <c r="I35" s="32">
        <f>IF(Segments!$C$4="Not In Use", 0, IF(C35=0,0,H35*E35/C35))</f>
        <v>0</v>
      </c>
      <c r="J35" s="19">
        <f>IF(I35=0, 0,IF(Segments!$D$96="Chlorine", (I35*EXP(0.071*G35)-0.42)/2.94, IF(Segments!$D$96="Chlorine Dioxide", (I35*EXP(0.072*G35)+35.15)/21.25, IF(Segments!$D$96="Ozone", (I35*EXP(0.068*G35)-0.01)/0.47, IF(Segments!$D$96="Chloramines", (I35*EXP(0.071*G35)+410.7)/849.5, 0)))))</f>
        <v>0</v>
      </c>
      <c r="K35" s="18">
        <f>IF(I35=0, 0,IF(Segments!$D$96="Chlorine", I35/(0.2828*F35^2.69*E35^0.15*0.933^(G35-5)), IF(Segments!$D$96="Chlorine Dioxide", ((I35*G35^0.49)+0.18)/23.85, IF(Segments!$D$96="Ozone", (I35*EXP(0.072*G35)-0.01)/0.98, IF(Segments!$D$96="Chloramines", (I35/(858.5-(24.3*G35))), 0)))))</f>
        <v>0</v>
      </c>
      <c r="L35" s="25">
        <f t="shared" si="16"/>
        <v>0</v>
      </c>
      <c r="M35" s="19">
        <f t="shared" si="17"/>
        <v>0</v>
      </c>
      <c r="N35" s="15"/>
      <c r="O35" s="80"/>
      <c r="P35" s="3" t="str">
        <f>Segments!$C$96</f>
        <v>Not In Use</v>
      </c>
      <c r="Q35" s="36"/>
      <c r="R35" s="36"/>
      <c r="S35" s="36"/>
      <c r="T35" s="36"/>
      <c r="U35" s="34"/>
      <c r="V35" s="29">
        <f>IF(Segments!$C$96="Not In Use",0, (IF(Segments!$F$96="Rectangular",Segments!$D$99*R35-Segments!$D$100, IF(Segments!$C$96="Pipe",Segments!$D$99,Segments!$D$99*R35))))</f>
        <v>0</v>
      </c>
      <c r="W35" s="32">
        <f>IF(Segments!$C$4="Not In Use", 0, IF(Q35=0,0,V35*S35/Q35))</f>
        <v>0</v>
      </c>
      <c r="X35" s="19">
        <f>IF(W35=0, 0,IF(Segments!$D$96="Chlorine", (W35*EXP(0.071*U35)-0.42)/2.94, IF(Segments!$D$96="Chlorine Dioxide", (W35*EXP(0.072*U35)+35.15)/21.25, IF(Segments!$D$96="Ozone", (W35*EXP(0.068*U35)-0.01)/0.47, IF(Segments!$D$96="Chloramines", (W35*EXP(0.071*U35)+410.7)/849.5, 0)))))</f>
        <v>0</v>
      </c>
      <c r="Y35" s="18">
        <f>IF(W35=0, 0,IF(Segments!$D$96="Chlorine", W35/(0.2828*T35^2.69*S35^0.15*0.933^(U35-5)), IF(Segments!$D$96="Chlorine Dioxide", ((W35*U35^0.49)+0.18)/23.85, IF(Segments!$D$96="Ozone", (W35*EXP(0.072*U35)-0.01)/0.98, IF(Segments!$D$96="Chloramines", (W35/(858.5-(24.3*U35))), 0)))))</f>
        <v>0</v>
      </c>
      <c r="Z35" s="25">
        <f t="shared" si="18"/>
        <v>0</v>
      </c>
      <c r="AA35" s="19">
        <f t="shared" si="19"/>
        <v>0</v>
      </c>
      <c r="AC35" s="80"/>
      <c r="AD35" s="3" t="str">
        <f>Segments!$C$96</f>
        <v>Not In Use</v>
      </c>
      <c r="AE35" s="36"/>
      <c r="AF35" s="36"/>
      <c r="AG35" s="36"/>
      <c r="AH35" s="36"/>
      <c r="AI35" s="34"/>
      <c r="AJ35" s="29">
        <f>IF(Segments!$C$96="Not In Use",0, (IF(Segments!$F$96="Rectangular",Segments!$D$99*AF35-Segments!$D$100, IF(Segments!$C$96="Pipe",Segments!$D$99,Segments!$D$99*AF35))))</f>
        <v>0</v>
      </c>
      <c r="AK35" s="32">
        <f>IF(Segments!$C$4="Not In Use", 0, IF(AE35=0,0,AJ35*AG35/AE35))</f>
        <v>0</v>
      </c>
      <c r="AL35" s="19">
        <f>IF(AK35=0, 0,IF(Segments!$D$96="Chlorine", (AK35*EXP(0.071*AI35)-0.42)/2.94, IF(Segments!$D$96="Chlorine Dioxide", (AK35*EXP(0.072*AI35)+35.15)/21.25, IF(Segments!$D$96="Ozone", (AK35*EXP(0.068*AI35)-0.01)/0.47, IF(Segments!$D$96="Chloramines", (AK35*EXP(0.071*AI35)+410.7)/849.5, 0)))))</f>
        <v>0</v>
      </c>
      <c r="AM35" s="18">
        <f>IF(AK35=0, 0,IF(Segments!$D$96="Chlorine", AK35/(0.2828*AH35^2.69*AG35^0.15*0.933^(AI35-5)), IF(Segments!$D$96="Chlorine Dioxide", ((AK35*AI35^0.49)+0.18)/23.85, IF(Segments!$D$96="Ozone", (AK35*EXP(0.072*AI35)-0.01)/0.98, IF(Segments!$D$96="Chloramines", (AK35/(858.5-(24.3*AI35))), 0)))))</f>
        <v>0</v>
      </c>
      <c r="AN35" s="25">
        <f t="shared" si="20"/>
        <v>0</v>
      </c>
      <c r="AO35" s="19">
        <f t="shared" si="21"/>
        <v>0</v>
      </c>
      <c r="AQ35" s="80"/>
      <c r="AR35" s="3" t="str">
        <f>Segments!$C$96</f>
        <v>Not In Use</v>
      </c>
      <c r="AS35" s="36"/>
      <c r="AT35" s="36"/>
      <c r="AU35" s="36"/>
      <c r="AV35" s="36"/>
      <c r="AW35" s="34"/>
      <c r="AX35" s="29">
        <f>IF(Segments!$C$96="Not In Use",0, (IF(Segments!$F$96="Rectangular",Segments!$D$99*AT35-Segments!$D$100, IF(Segments!$C$96="Pipe",Segments!$D$99,Segments!$D$99*AT35))))</f>
        <v>0</v>
      </c>
      <c r="AY35" s="32">
        <f>IF(Segments!$C$4="Not In Use", 0, IF(AS35=0,0,AX35*AU35/AS35))</f>
        <v>0</v>
      </c>
      <c r="AZ35" s="19">
        <f>IF(AY35=0, 0,IF(Segments!$D$96="Chlorine", (AY35*EXP(0.071*AW35)-0.42)/2.94, IF(Segments!$D$96="Chlorine Dioxide", (AY35*EXP(0.072*AW35)+35.15)/21.25, IF(Segments!$D$96="Ozone", (AY35*EXP(0.068*AW35)-0.01)/0.47, IF(Segments!$D$96="Chloramines", (AY35*EXP(0.071*AW35)+410.7)/849.5, 0)))))</f>
        <v>0</v>
      </c>
      <c r="BA35" s="18">
        <f>IF(AY35=0, 0,IF(Segments!$D$96="Chlorine", AY35/(0.2828*AV35^2.69*AU35^0.15*0.933^(AW35-5)), IF(Segments!$D$96="Chlorine Dioxide", ((AY35*AW35^0.49)+0.18)/23.85, IF(Segments!$D$96="Ozone", (AY35*EXP(0.072*AW35)-0.01)/0.98, IF(Segments!$D$96="Chloramines", (AY35/(858.5-(24.3*AW35))), 0)))))</f>
        <v>0</v>
      </c>
      <c r="BB35" s="25">
        <f t="shared" si="22"/>
        <v>0</v>
      </c>
      <c r="BC35" s="19">
        <f t="shared" si="23"/>
        <v>0</v>
      </c>
    </row>
    <row r="36" spans="1:55" ht="13.5" thickBot="1" x14ac:dyDescent="0.25">
      <c r="A36" s="81"/>
      <c r="B36" s="22" t="s">
        <v>42</v>
      </c>
      <c r="C36" s="23"/>
      <c r="D36" s="23"/>
      <c r="E36" s="23"/>
      <c r="F36" s="23"/>
      <c r="G36" s="23"/>
      <c r="H36" s="26"/>
      <c r="I36" s="50">
        <f>SUM(I27:I35)</f>
        <v>112.09274214285715</v>
      </c>
      <c r="J36" s="50">
        <f>SUM(J27:J35)</f>
        <v>146.49565716496525</v>
      </c>
      <c r="K36" s="50">
        <f>SUM(K27:K35)</f>
        <v>5.3142450391756331</v>
      </c>
      <c r="L36" s="50">
        <f>SUM(L27:L35)</f>
        <v>36.623914291241313</v>
      </c>
      <c r="M36" s="50">
        <f>SUM(M27:M35)</f>
        <v>1.7714150130585442</v>
      </c>
      <c r="N36" s="15"/>
      <c r="O36" s="81"/>
      <c r="P36" s="22" t="s">
        <v>42</v>
      </c>
      <c r="Q36" s="23"/>
      <c r="R36" s="23"/>
      <c r="S36" s="23"/>
      <c r="T36" s="23"/>
      <c r="U36" s="23"/>
      <c r="V36" s="26"/>
      <c r="W36" s="50">
        <f>SUM(W27:W35)</f>
        <v>112.09274214285715</v>
      </c>
      <c r="X36" s="50">
        <f>SUM(X27:X35)</f>
        <v>146.49565716496525</v>
      </c>
      <c r="Y36" s="50">
        <f>SUM(Y27:Y35)</f>
        <v>5.3142450391756331</v>
      </c>
      <c r="Z36" s="50">
        <f>SUM(Z27:Z35)</f>
        <v>36.623914291241313</v>
      </c>
      <c r="AA36" s="50">
        <f>SUM(AA27:AA35)</f>
        <v>1.7714150130585442</v>
      </c>
      <c r="AC36" s="81"/>
      <c r="AD36" s="22" t="s">
        <v>42</v>
      </c>
      <c r="AE36" s="23"/>
      <c r="AF36" s="23"/>
      <c r="AG36" s="23"/>
      <c r="AH36" s="23"/>
      <c r="AI36" s="23"/>
      <c r="AJ36" s="26"/>
      <c r="AK36" s="50">
        <f>SUM(AK27:AK35)</f>
        <v>3.9219910714285717</v>
      </c>
      <c r="AL36" s="50">
        <f>SUM(AL27:AL35)</f>
        <v>3.7268927194332697</v>
      </c>
      <c r="AM36" s="50">
        <f>SUM(AM27:AM35)</f>
        <v>0.11557988836844089</v>
      </c>
      <c r="AN36" s="50">
        <f>SUM(AN27:AN35)</f>
        <v>0.93172317985831743</v>
      </c>
      <c r="AO36" s="50">
        <f>SUM(AO27:AO35)</f>
        <v>3.8526629456146967E-2</v>
      </c>
      <c r="AQ36" s="81"/>
      <c r="AR36" s="22" t="s">
        <v>42</v>
      </c>
      <c r="AS36" s="23"/>
      <c r="AT36" s="23"/>
      <c r="AU36" s="23"/>
      <c r="AV36" s="23"/>
      <c r="AW36" s="23"/>
      <c r="AX36" s="26"/>
      <c r="AY36" s="50">
        <f>SUM(AY27:AY35)</f>
        <v>3.9219910714285717</v>
      </c>
      <c r="AZ36" s="50">
        <f>SUM(AZ27:AZ35)</f>
        <v>3.7268927194332697</v>
      </c>
      <c r="BA36" s="50">
        <f>SUM(BA27:BA35)</f>
        <v>0.11557988836844089</v>
      </c>
      <c r="BB36" s="50">
        <f>SUM(BB27:BB35)</f>
        <v>0.93172317985831743</v>
      </c>
      <c r="BC36" s="50">
        <f>SUM(BC27:BC35)</f>
        <v>3.8526629456146967E-2</v>
      </c>
    </row>
    <row r="37" spans="1:55" s="15" customFormat="1" ht="6.75" customHeight="1" thickBot="1" x14ac:dyDescent="0.25"/>
    <row r="38" spans="1:55" ht="51.75" customHeight="1" thickBot="1" x14ac:dyDescent="0.25">
      <c r="A38" s="79" t="s">
        <v>61</v>
      </c>
      <c r="B38" s="6" t="s">
        <v>23</v>
      </c>
      <c r="C38" s="16" t="s">
        <v>83</v>
      </c>
      <c r="D38" s="6" t="s">
        <v>38</v>
      </c>
      <c r="E38" s="16" t="s">
        <v>45</v>
      </c>
      <c r="F38" s="16" t="s">
        <v>6</v>
      </c>
      <c r="G38" s="16" t="s">
        <v>37</v>
      </c>
      <c r="H38" s="16" t="s">
        <v>35</v>
      </c>
      <c r="I38" s="16" t="s">
        <v>46</v>
      </c>
      <c r="J38" s="16" t="s">
        <v>39</v>
      </c>
      <c r="K38" s="16" t="s">
        <v>40</v>
      </c>
      <c r="L38" s="16" t="s">
        <v>41</v>
      </c>
      <c r="M38" s="17" t="s">
        <v>36</v>
      </c>
      <c r="O38" s="79" t="s">
        <v>52</v>
      </c>
      <c r="P38" s="6" t="s">
        <v>23</v>
      </c>
      <c r="Q38" s="16" t="s">
        <v>83</v>
      </c>
      <c r="R38" s="6" t="s">
        <v>38</v>
      </c>
      <c r="S38" s="16" t="s">
        <v>45</v>
      </c>
      <c r="T38" s="16" t="s">
        <v>6</v>
      </c>
      <c r="U38" s="16" t="s">
        <v>37</v>
      </c>
      <c r="V38" s="16" t="s">
        <v>35</v>
      </c>
      <c r="W38" s="16" t="s">
        <v>46</v>
      </c>
      <c r="X38" s="16" t="s">
        <v>39</v>
      </c>
      <c r="Y38" s="16" t="s">
        <v>40</v>
      </c>
      <c r="Z38" s="16" t="s">
        <v>41</v>
      </c>
      <c r="AA38" s="17" t="s">
        <v>36</v>
      </c>
      <c r="AC38" s="79" t="s">
        <v>71</v>
      </c>
      <c r="AD38" s="6" t="s">
        <v>23</v>
      </c>
      <c r="AE38" s="16" t="s">
        <v>83</v>
      </c>
      <c r="AF38" s="6" t="s">
        <v>38</v>
      </c>
      <c r="AG38" s="16" t="s">
        <v>45</v>
      </c>
      <c r="AH38" s="16" t="s">
        <v>6</v>
      </c>
      <c r="AI38" s="16" t="s">
        <v>37</v>
      </c>
      <c r="AJ38" s="16" t="s">
        <v>35</v>
      </c>
      <c r="AK38" s="16" t="s">
        <v>46</v>
      </c>
      <c r="AL38" s="16" t="s">
        <v>39</v>
      </c>
      <c r="AM38" s="16" t="s">
        <v>40</v>
      </c>
      <c r="AN38" s="16" t="s">
        <v>41</v>
      </c>
      <c r="AO38" s="17" t="s">
        <v>36</v>
      </c>
    </row>
    <row r="39" spans="1:55" ht="13.5" thickBot="1" x14ac:dyDescent="0.25">
      <c r="A39" s="80"/>
      <c r="B39" s="3" t="str">
        <f>Segments!$C$4</f>
        <v>Rapid Mix</v>
      </c>
      <c r="C39" s="34">
        <v>1400</v>
      </c>
      <c r="D39" s="33">
        <v>12</v>
      </c>
      <c r="E39" s="33">
        <v>0.3</v>
      </c>
      <c r="F39" s="33">
        <v>6.9</v>
      </c>
      <c r="G39" s="35">
        <v>19</v>
      </c>
      <c r="H39" s="27">
        <f>IF(Segments!$C$4="Not In Use",0, (IF(Segments!$F$4="Rectangular",Segments!$D$7*D39-Segments!$D$8, IF(Segments!$C$4="Pipe",Segments!$D$7,Segments!$D$7*D39))))</f>
        <v>4392.63</v>
      </c>
      <c r="I39" s="30">
        <f>IF(Segments!$C$4="Not In Use", 0, IF(C39=0,0,H39*E39/C39))</f>
        <v>0.94127785714285717</v>
      </c>
      <c r="J39" s="21">
        <f>IF(I39=0, 0,IF(Segments!$D$4="Chlorine", (I39*EXP(0.071*G39)-0.42)/2.94, IF(Segments!$D$4="Chlorine Dioxide", (I39*EXP(0.072*G39)+35.15)/21.25, IF(Segments!$D$4="Ozone", (I39*EXP(0.068*G39)-0.01)/0.47, IF(Segments!$D$4="Chloramines", (I39*EXP(0.071*G39)+410.7)/849.5, 0)))))</f>
        <v>1.0909116133450996</v>
      </c>
      <c r="K39" s="20">
        <f>IF(I39=0, 0,IF(Segments!$D$4="Chlorine", I39/(0.2828*F39^2.69*E39^0.15*0.933^(G39-5)), IF(Segments!$D$4="Chlorine Dioxide", ((I39*G39^0.49)+0.18)/23.85, IF(Segments!$D$4="Ozone", (I39*EXP(0.072*G39)-0.01)/0.98, IF(Segments!$D$4="Chloramines", (I39/(858.5-(24.3*G39))), 0)))))</f>
        <v>5.8320761032030599E-2</v>
      </c>
      <c r="L39" s="24">
        <f>J39/4</f>
        <v>0.27272790333627489</v>
      </c>
      <c r="M39" s="21">
        <f>K39/3</f>
        <v>1.9440253677343533E-2</v>
      </c>
      <c r="O39" s="80"/>
      <c r="P39" s="3" t="str">
        <f>Segments!$C$4</f>
        <v>Rapid Mix</v>
      </c>
      <c r="Q39" s="34">
        <v>1400</v>
      </c>
      <c r="R39" s="33">
        <v>12</v>
      </c>
      <c r="S39" s="33">
        <v>0.3</v>
      </c>
      <c r="T39" s="33">
        <v>6.9</v>
      </c>
      <c r="U39" s="35">
        <v>19</v>
      </c>
      <c r="V39" s="27">
        <f>IF(Segments!$C$4="Not In Use",0, (IF(Segments!$F$4="Rectangular",Segments!$D$7*R39-Segments!$D$8, IF(Segments!$C$4="Pipe",Segments!$D$7,Segments!$D$7*R39))))</f>
        <v>4392.63</v>
      </c>
      <c r="W39" s="30">
        <f>IF(Segments!$C$4="Not In Use", 0, IF(Q39=0,0,V39*S39/Q39))</f>
        <v>0.94127785714285717</v>
      </c>
      <c r="X39" s="21">
        <f>IF(W39=0, 0,IF(Segments!$D$4="Chlorine", (W39*EXP(0.071*U39)-0.42)/2.94, IF(Segments!$D$4="Chlorine Dioxide", (W39*EXP(0.072*U39)+35.15)/21.25, IF(Segments!$D$4="Ozone", (W39*EXP(0.068*U39)-0.01)/0.47, IF(Segments!$D$4="Chloramines", (W39*EXP(0.071*U39)+410.7)/849.5, 0)))))</f>
        <v>1.0909116133450996</v>
      </c>
      <c r="Y39" s="20">
        <f>IF(W39=0, 0,IF(Segments!$D$4="Chlorine", W39/(0.2828*T39^2.69*S39^0.15*0.933^(U39-5)), IF(Segments!$D$4="Chlorine Dioxide", ((W39*U39^0.49)+0.18)/23.85, IF(Segments!$D$4="Ozone", (W39*EXP(0.072*U39)-0.01)/0.98, IF(Segments!$D$4="Chloramines", (W39/(858.5-(24.3*U39))), 0)))))</f>
        <v>5.8320761032030599E-2</v>
      </c>
      <c r="Z39" s="24">
        <f>X39/4</f>
        <v>0.27272790333627489</v>
      </c>
      <c r="AA39" s="21">
        <f>Y39/3</f>
        <v>1.9440253677343533E-2</v>
      </c>
      <c r="AC39" s="80"/>
      <c r="AD39" s="3" t="str">
        <f>Segments!$C$4</f>
        <v>Rapid Mix</v>
      </c>
      <c r="AE39" s="34">
        <v>1400</v>
      </c>
      <c r="AF39" s="33">
        <v>10</v>
      </c>
      <c r="AG39" s="33">
        <v>1.5</v>
      </c>
      <c r="AH39" s="33">
        <v>7.5</v>
      </c>
      <c r="AI39" s="35">
        <v>15</v>
      </c>
      <c r="AJ39" s="27">
        <f>IF(Segments!$C$4="Not In Use",0, (IF(Segments!$F$4="Rectangular",Segments!$D$7*AF39-Segments!$D$8, IF(Segments!$C$4="Pipe",Segments!$D$7,Segments!$D$7*AF39))))</f>
        <v>3660.5250000000001</v>
      </c>
      <c r="AK39" s="30">
        <f>IF(Segments!$C$4="Not In Use", 0, IF(AE39=0,0,AJ39*AG39/AE39))</f>
        <v>3.9219910714285717</v>
      </c>
      <c r="AL39" s="21">
        <f>IF(AK39=0, 0,IF(Segments!$D$4="Chlorine", (AK39*EXP(0.071*AI39)-0.42)/2.94, IF(Segments!$D$4="Chlorine Dioxide", (AK39*EXP(0.072*AI39)+35.15)/21.25, IF(Segments!$D$4="Ozone", (AK39*EXP(0.068*AI39)-0.01)/0.47, IF(Segments!$D$4="Chloramines", (AK39*EXP(0.071*AI39)+410.7)/849.5, 0)))))</f>
        <v>3.7268927194332697</v>
      </c>
      <c r="AM39" s="20">
        <f>IF(AK39=0, 0,IF(Segments!$D$4="Chlorine", AK39/(0.2828*AH39^2.69*AG39^0.15*0.933^(AI39-5)), IF(Segments!$D$4="Chlorine Dioxide", ((AK39*AI39^0.49)+0.18)/23.85, IF(Segments!$D$4="Ozone", (AK39*EXP(0.072*AI39)-0.01)/0.98, IF(Segments!$D$4="Chloramines", (AK39/(858.5-(24.3*AI39))), 0)))))</f>
        <v>0.11557988836844089</v>
      </c>
      <c r="AN39" s="24">
        <f>AL39/4</f>
        <v>0.93172317985831743</v>
      </c>
      <c r="AO39" s="21">
        <f>AM39/3</f>
        <v>3.8526629456146967E-2</v>
      </c>
    </row>
    <row r="40" spans="1:55" ht="13.5" thickBot="1" x14ac:dyDescent="0.25">
      <c r="A40" s="80"/>
      <c r="B40" s="3" t="str">
        <f>Segments!$C$15</f>
        <v>Flocculation</v>
      </c>
      <c r="C40" s="33">
        <v>1400</v>
      </c>
      <c r="D40" s="33">
        <v>12</v>
      </c>
      <c r="E40" s="33">
        <v>0</v>
      </c>
      <c r="F40" s="33">
        <v>6.9</v>
      </c>
      <c r="G40" s="35">
        <v>19</v>
      </c>
      <c r="H40" s="28">
        <f>IF(Segments!$C$15="Not In Use",0, (IF(Segments!$F$15="Rectangular",Segments!$D$18*D40-Segments!$D$19, IF(Segments!$C$15="Pipe",Segments!$D$18,Segments!$D$18*D40))))</f>
        <v>0</v>
      </c>
      <c r="I40" s="31">
        <f>IF(Segments!$C$4="Not In Use", 0, IF(C40=0,0,H40*E40/C40))</f>
        <v>0</v>
      </c>
      <c r="J40" s="19">
        <f>IF(I40=0, 0,IF(Segments!$D$15="Chlorine", (I40*EXP(0.071*G40)-0.42)/2.94, IF(Segments!$D$15="Chlorine Dioxide", (I40*EXP(0.072*G40)+35.15)/21.25, IF(Segments!$D$15="Ozone", (I40*EXP(0.068*G40)-0.01)/0.47, IF(Segments!$D$15="Chloramines", (I40*EXP(0.071*G40)+410.7)/849.5, 0)))))</f>
        <v>0</v>
      </c>
      <c r="K40" s="18">
        <f>IF(I40=0, 0,IF(Segments!$D$15="Chlorine", I40/(0.2828*F40^2.69*E40^0.15*0.933^(G40-5)), IF(Segments!$D$15="Chlorine Dioxide", ((I40*G40^0.49)+0.18)/23.85, IF(Segments!$D$15="Ozone", (I40*exp^(0.072*G40)-0.01)/0.98, IF(Segments!$D$15="Chloramines", (I40/(858.5-(24.3*G40))), 0)))))</f>
        <v>0</v>
      </c>
      <c r="L40" s="25">
        <f t="shared" ref="L40:L47" si="24">J40/4</f>
        <v>0</v>
      </c>
      <c r="M40" s="19">
        <f t="shared" ref="M40:M47" si="25">K40/3</f>
        <v>0</v>
      </c>
      <c r="O40" s="80"/>
      <c r="P40" s="3" t="str">
        <f>Segments!$C$15</f>
        <v>Flocculation</v>
      </c>
      <c r="Q40" s="33">
        <v>1400</v>
      </c>
      <c r="R40" s="33">
        <v>12</v>
      </c>
      <c r="S40" s="33">
        <v>0</v>
      </c>
      <c r="T40" s="33">
        <v>6.9</v>
      </c>
      <c r="U40" s="35">
        <v>19</v>
      </c>
      <c r="V40" s="28">
        <f>IF(Segments!$C$15="Not In Use",0, (IF(Segments!$F$15="Rectangular",Segments!$D$18*R40-Segments!$D$19, IF(Segments!$C$15="Pipe",Segments!$D$18,Segments!$D$18*R40))))</f>
        <v>0</v>
      </c>
      <c r="W40" s="31">
        <f>IF(Segments!$C$4="Not In Use", 0, IF(Q40=0,0,V40*S40/Q40))</f>
        <v>0</v>
      </c>
      <c r="X40" s="19">
        <f>IF(W40=0, 0,IF(Segments!$D$15="Chlorine", (W40*EXP(0.071*U40)-0.42)/2.94, IF(Segments!$D$15="Chlorine Dioxide", (W40*EXP(0.072*U40)+35.15)/21.25, IF(Segments!$D$15="Ozone", (W40*EXP(0.068*U40)-0.01)/0.47, IF(Segments!$D$15="Chloramines", (W40*EXP(0.071*U40)+410.7)/849.5, 0)))))</f>
        <v>0</v>
      </c>
      <c r="Y40" s="18">
        <f>IF(W40=0, 0,IF(Segments!$D$15="Chlorine", W40/(0.2828*T40^2.69*S40^0.15*0.933^(U40-5)), IF(Segments!$D$15="Chlorine Dioxide", ((W40*U40^0.49)+0.18)/23.85, IF(Segments!$D$15="Ozone", (W40*exp^(0.072*U40)-0.01)/0.98, IF(Segments!$D$15="Chloramines", (W40/(858.5-(24.3*U40))), 0)))))</f>
        <v>0</v>
      </c>
      <c r="Z40" s="25">
        <f t="shared" ref="Z40:Z47" si="26">X40/4</f>
        <v>0</v>
      </c>
      <c r="AA40" s="19">
        <f t="shared" ref="AA40:AA47" si="27">Y40/3</f>
        <v>0</v>
      </c>
      <c r="AC40" s="80"/>
      <c r="AD40" s="3" t="str">
        <f>Segments!$C$15</f>
        <v>Flocculation</v>
      </c>
      <c r="AE40" s="33">
        <v>1400</v>
      </c>
      <c r="AF40" s="33"/>
      <c r="AG40" s="33">
        <v>1.4</v>
      </c>
      <c r="AH40" s="33">
        <v>7.5</v>
      </c>
      <c r="AI40" s="35">
        <v>15</v>
      </c>
      <c r="AJ40" s="28">
        <f>IF(Segments!$C$15="Not In Use",0, (IF(Segments!$F$15="Rectangular",Segments!$D$18*AF40-Segments!$D$19, IF(Segments!$C$15="Pipe",Segments!$D$18,Segments!$D$18*AF40))))</f>
        <v>0</v>
      </c>
      <c r="AK40" s="31">
        <f>IF(Segments!$C$4="Not In Use", 0, IF(AE40=0,0,AJ40*AG40/AE40))</f>
        <v>0</v>
      </c>
      <c r="AL40" s="19">
        <f>IF(AK40=0, 0,IF(Segments!$D$15="Chlorine", (AK40*EXP(0.071*AI40)-0.42)/2.94, IF(Segments!$D$15="Chlorine Dioxide", (AK40*EXP(0.072*AI40)+35.15)/21.25, IF(Segments!$D$15="Ozone", (AK40*EXP(0.068*AI40)-0.01)/0.47, IF(Segments!$D$15="Chloramines", (AK40*EXP(0.071*AI40)+410.7)/849.5, 0)))))</f>
        <v>0</v>
      </c>
      <c r="AM40" s="18">
        <f>IF(AK40=0, 0,IF(Segments!$D$15="Chlorine", AK40/(0.2828*AH40^2.69*AG40^0.15*0.933^(AI40-5)), IF(Segments!$D$15="Chlorine Dioxide", ((AK40*AI40^0.49)+0.18)/23.85, IF(Segments!$D$15="Ozone", (AK40*exp^(0.072*AI40)-0.01)/0.98, IF(Segments!$D$15="Chloramines", (AK40/(858.5-(24.3*AI40))), 0)))))</f>
        <v>0</v>
      </c>
      <c r="AN40" s="25">
        <f t="shared" ref="AN40:AN47" si="28">AL40/4</f>
        <v>0</v>
      </c>
      <c r="AO40" s="19">
        <f t="shared" ref="AO40:AO47" si="29">AM40/3</f>
        <v>0</v>
      </c>
    </row>
    <row r="41" spans="1:55" ht="13.5" thickBot="1" x14ac:dyDescent="0.25">
      <c r="A41" s="80"/>
      <c r="B41" s="3" t="str">
        <f>Segments!$C$26</f>
        <v>Sedimentation</v>
      </c>
      <c r="C41" s="33">
        <v>1400</v>
      </c>
      <c r="D41" s="33">
        <v>12</v>
      </c>
      <c r="E41" s="33">
        <v>0</v>
      </c>
      <c r="F41" s="33">
        <v>6.9</v>
      </c>
      <c r="G41" s="35">
        <v>19</v>
      </c>
      <c r="H41" s="28">
        <f>IF(Segments!$C$26="Not In Use",0, (IF(Segments!$F$26="Rectangular",Segments!$D$29*D41-Segments!$D$30, IF(Segments!$C$26="Pipe",Segments!$D$29,Segments!$D$29*D41))))</f>
        <v>0</v>
      </c>
      <c r="I41" s="31">
        <f>IF(Segments!$C$4="Not In Use", 0, IF(C41=0,0,H41*E41/C41))</f>
        <v>0</v>
      </c>
      <c r="J41" s="19">
        <f>IF(I41=0, 0,IF(Segments!$D$26="Chlorine", (I41*EXP(0.071*G41)-0.42)/2.94, IF(Segments!$D$26="Chlorine Dioxide", (I41*EXP(0.072*G41)+35.15)/21.25, IF(Segments!$D$26="Ozone", (I41*EXP(0.068*G41)-0.01)/0.47, IF(Segments!$D$26="Chloramines", (I41*EXP(0.071*G41)+410.7)/849.5, 0)))))</f>
        <v>0</v>
      </c>
      <c r="K41" s="18">
        <f>IF(I41=0, 0,IF(Segments!$D$26="Chlorine", I41/(0.2828*F41^2.69*E41^0.15*0.933^(G41-5)), IF(Segments!$D$26="Chlorine Dioxide", ((I41*G41^0.49)+0.18)/23.85, IF(Segments!$D$26="Ozone",((I41*EXP(0.072*G41)-0.01)/0.98),IF(Segments!$D$26="Chloramines", (I41/(858.5-(24.3*G41))), 0)))))</f>
        <v>0</v>
      </c>
      <c r="L41" s="25">
        <f t="shared" si="24"/>
        <v>0</v>
      </c>
      <c r="M41" s="19">
        <f t="shared" si="25"/>
        <v>0</v>
      </c>
      <c r="O41" s="80"/>
      <c r="P41" s="3" t="str">
        <f>Segments!$C$26</f>
        <v>Sedimentation</v>
      </c>
      <c r="Q41" s="33">
        <v>1400</v>
      </c>
      <c r="R41" s="33">
        <v>12</v>
      </c>
      <c r="S41" s="33">
        <v>0</v>
      </c>
      <c r="T41" s="33">
        <v>6.9</v>
      </c>
      <c r="U41" s="35">
        <v>19</v>
      </c>
      <c r="V41" s="28">
        <f>IF(Segments!$C$26="Not In Use",0, (IF(Segments!$F$26="Rectangular",Segments!$D$29*R41-Segments!$D$30, IF(Segments!$C$26="Pipe",Segments!$D$29,Segments!$D$29*R41))))</f>
        <v>0</v>
      </c>
      <c r="W41" s="31">
        <f>IF(Segments!$C$4="Not In Use", 0, IF(Q41=0,0,V41*S41/Q41))</f>
        <v>0</v>
      </c>
      <c r="X41" s="19">
        <f>IF(W41=0, 0,IF(Segments!$D$26="Chlorine", (W41*EXP(0.071*U41)-0.42)/2.94, IF(Segments!$D$26="Chlorine Dioxide", (W41*EXP(0.072*U41)+35.15)/21.25, IF(Segments!$D$26="Ozone", (W41*EXP(0.068*U41)-0.01)/0.47, IF(Segments!$D$26="Chloramines", (W41*EXP(0.071*U41)+410.7)/849.5, 0)))))</f>
        <v>0</v>
      </c>
      <c r="Y41" s="18">
        <f>IF(W41=0, 0,IF(Segments!$D$26="Chlorine", W41/(0.2828*T41^2.69*S41^0.15*0.933^(U41-5)), IF(Segments!$D$26="Chlorine Dioxide", ((W41*U41^0.49)+0.18)/23.85, IF(Segments!$D$26="Ozone",((W41*EXP(0.072*U41)-0.01)/0.98),IF(Segments!$D$26="Chloramines", (W41/(858.5-(24.3*U41))), 0)))))</f>
        <v>0</v>
      </c>
      <c r="Z41" s="25">
        <f t="shared" si="26"/>
        <v>0</v>
      </c>
      <c r="AA41" s="19">
        <f t="shared" si="27"/>
        <v>0</v>
      </c>
      <c r="AC41" s="80"/>
      <c r="AD41" s="3" t="str">
        <f>Segments!$C$26</f>
        <v>Sedimentation</v>
      </c>
      <c r="AE41" s="33"/>
      <c r="AF41" s="33"/>
      <c r="AG41" s="33"/>
      <c r="AH41" s="33"/>
      <c r="AI41" s="35"/>
      <c r="AJ41" s="28">
        <f>IF(Segments!$C$26="Not In Use",0, (IF(Segments!$F$26="Rectangular",Segments!$D$29*AF41-Segments!$D$30, IF(Segments!$C$26="Pipe",Segments!$D$29,Segments!$D$29*AF41))))</f>
        <v>0</v>
      </c>
      <c r="AK41" s="31">
        <f>IF(Segments!$C$4="Not In Use", 0, IF(AE41=0,0,AJ41*AG41/AE41))</f>
        <v>0</v>
      </c>
      <c r="AL41" s="19">
        <f>IF(AK41=0, 0,IF(Segments!$D$26="Chlorine", (AK41*EXP(0.071*AI41)-0.42)/2.94, IF(Segments!$D$26="Chlorine Dioxide", (AK41*EXP(0.072*AI41)+35.15)/21.25, IF(Segments!$D$26="Ozone", (AK41*EXP(0.068*AI41)-0.01)/0.47, IF(Segments!$D$26="Chloramines", (AK41*EXP(0.071*AI41)+410.7)/849.5, 0)))))</f>
        <v>0</v>
      </c>
      <c r="AM41" s="18">
        <f>IF(AK41=0, 0,IF(Segments!$D$26="Chlorine", AK41/(0.2828*AH41^2.69*AG41^0.15*0.933^(AI41-5)), IF(Segments!$D$26="Chlorine Dioxide", ((AK41*AI41^0.49)+0.18)/23.85, IF(Segments!$D$26="Ozone",((AK41*EXP(0.072*AI41)-0.01)/0.98),IF(Segments!$D$26="Chloramines", (AK41/(858.5-(24.3*AI41))), 0)))))</f>
        <v>0</v>
      </c>
      <c r="AN41" s="25">
        <f t="shared" si="28"/>
        <v>0</v>
      </c>
      <c r="AO41" s="19">
        <f t="shared" si="29"/>
        <v>0</v>
      </c>
    </row>
    <row r="42" spans="1:55" ht="13.5" thickBot="1" x14ac:dyDescent="0.25">
      <c r="A42" s="80"/>
      <c r="B42" s="3" t="str">
        <f>Segments!$C$39</f>
        <v>Filtration</v>
      </c>
      <c r="C42" s="33">
        <v>1400</v>
      </c>
      <c r="D42" s="33">
        <v>5</v>
      </c>
      <c r="E42" s="33">
        <v>0.5</v>
      </c>
      <c r="F42" s="33">
        <v>6.9</v>
      </c>
      <c r="G42" s="35">
        <v>19</v>
      </c>
      <c r="H42" s="28">
        <f>IF(Segments!$C$39="Not In Use",0, (IF(Segments!$F$39="Rectangular",Segments!$D$42*D42-Segments!$D$43, IF(Segments!$C$39="Pipe",Segments!$D$42,Segments!$D$42*D42))))</f>
        <v>13669.7</v>
      </c>
      <c r="I42" s="31">
        <f>IF(Segments!$C$4="Not In Use", 0, IF(C42=0,0,H42*E42/C42))</f>
        <v>4.8820357142857143</v>
      </c>
      <c r="J42" s="19">
        <f>IF(I42=0, 0,IF(Segments!$D$39="Chlorine", (I42*EXP(0.071*G42)-0.42)/2.94, IF(Segments!$D$39="Chlorine Dioxide", (I42*EXP(0.072*G42)+35.15)/21.25, IF(Segments!$D$39="Ozone", (I42*EXP(0.068*G42)-0.01)/0.47, IF(Segments!$D$39="Chloramines", (I42*EXP(0.071*G42)+410.7)/849.5, 0)))))</f>
        <v>6.2562131053608159</v>
      </c>
      <c r="K42" s="18">
        <f>IF(I42=0, 0,IF(Segments!$D$39="Chlorine", I42/(0.2828*F42^2.69*E42^0.15*0.933^(G42-5)), IF(Segments!$D$39="Chlorine Dioxide", ((I42*G42^0.49)+0.18)/23.85, IF(Segments!$D$39="Ozone", (I42*EXP(0.072*G42)-0.01)/0.98, IF(Segments!$D$39="Chloramines", (I42/(858.5-(24.3*G42))), 0)))))</f>
        <v>0.28017474145721827</v>
      </c>
      <c r="L42" s="25">
        <f t="shared" si="24"/>
        <v>1.564053276340204</v>
      </c>
      <c r="M42" s="19">
        <f t="shared" si="25"/>
        <v>9.3391580485739423E-2</v>
      </c>
      <c r="O42" s="80"/>
      <c r="P42" s="3" t="str">
        <f>Segments!$C$39</f>
        <v>Filtration</v>
      </c>
      <c r="Q42" s="33">
        <v>1400</v>
      </c>
      <c r="R42" s="33">
        <v>5</v>
      </c>
      <c r="S42" s="33">
        <v>0.5</v>
      </c>
      <c r="T42" s="33">
        <v>6.9</v>
      </c>
      <c r="U42" s="35">
        <v>19</v>
      </c>
      <c r="V42" s="28">
        <f>IF(Segments!$C$39="Not In Use",0, (IF(Segments!$F$39="Rectangular",Segments!$D$42*R42-Segments!$D$43, IF(Segments!$C$39="Pipe",Segments!$D$42,Segments!$D$42*R42))))</f>
        <v>13669.7</v>
      </c>
      <c r="W42" s="31">
        <f>IF(Segments!$C$4="Not In Use", 0, IF(Q42=0,0,V42*S42/Q42))</f>
        <v>4.8820357142857143</v>
      </c>
      <c r="X42" s="19">
        <f>IF(W42=0, 0,IF(Segments!$D$39="Chlorine", (W42*EXP(0.071*U42)-0.42)/2.94, IF(Segments!$D$39="Chlorine Dioxide", (W42*EXP(0.072*U42)+35.15)/21.25, IF(Segments!$D$39="Ozone", (W42*EXP(0.068*U42)-0.01)/0.47, IF(Segments!$D$39="Chloramines", (W42*EXP(0.071*U42)+410.7)/849.5, 0)))))</f>
        <v>6.2562131053608159</v>
      </c>
      <c r="Y42" s="18">
        <f>IF(W42=0, 0,IF(Segments!$D$39="Chlorine", W42/(0.2828*T42^2.69*S42^0.15*0.933^(U42-5)), IF(Segments!$D$39="Chlorine Dioxide", ((W42*U42^0.49)+0.18)/23.85, IF(Segments!$D$39="Ozone", (W42*EXP(0.072*U42)-0.01)/0.98, IF(Segments!$D$39="Chloramines", (W42/(858.5-(24.3*U42))), 0)))))</f>
        <v>0.28017474145721827</v>
      </c>
      <c r="Z42" s="25">
        <f t="shared" si="26"/>
        <v>1.564053276340204</v>
      </c>
      <c r="AA42" s="19">
        <f t="shared" si="27"/>
        <v>9.3391580485739423E-2</v>
      </c>
      <c r="AC42" s="80"/>
      <c r="AD42" s="3" t="str">
        <f>Segments!$C$39</f>
        <v>Filtration</v>
      </c>
      <c r="AE42" s="33"/>
      <c r="AF42" s="33"/>
      <c r="AG42" s="33"/>
      <c r="AH42" s="33"/>
      <c r="AI42" s="35"/>
      <c r="AJ42" s="28">
        <f>IF(Segments!$C$39="Not In Use",0, (IF(Segments!$F$39="Rectangular",Segments!$D$42*AF42-Segments!$D$43, IF(Segments!$C$39="Pipe",Segments!$D$42,Segments!$D$42*AF42))))</f>
        <v>0</v>
      </c>
      <c r="AK42" s="31">
        <f>IF(Segments!$C$4="Not In Use", 0, IF(AE42=0,0,AJ42*AG42/AE42))</f>
        <v>0</v>
      </c>
      <c r="AL42" s="19">
        <f>IF(AK42=0, 0,IF(Segments!$D$39="Chlorine", (AK42*EXP(0.071*AI42)-0.42)/2.94, IF(Segments!$D$39="Chlorine Dioxide", (AK42*EXP(0.072*AI42)+35.15)/21.25, IF(Segments!$D$39="Ozone", (AK42*EXP(0.068*AI42)-0.01)/0.47, IF(Segments!$D$39="Chloramines", (AK42*EXP(0.071*AI42)+410.7)/849.5, 0)))))</f>
        <v>0</v>
      </c>
      <c r="AM42" s="18">
        <f>IF(AK42=0, 0,IF(Segments!$D$39="Chlorine", AK42/(0.2828*AH42^2.69*AG42^0.15*0.933^(AI42-5)), IF(Segments!$D$39="Chlorine Dioxide", ((AK42*AI42^0.49)+0.18)/23.85, IF(Segments!$D$39="Ozone", (AK42*EXP(0.072*AI42)-0.01)/0.98, IF(Segments!$D$39="Chloramines", (AK42/(858.5-(24.3*AI42))), 0)))))</f>
        <v>0</v>
      </c>
      <c r="AN42" s="25">
        <f t="shared" si="28"/>
        <v>0</v>
      </c>
      <c r="AO42" s="19">
        <f t="shared" si="29"/>
        <v>0</v>
      </c>
    </row>
    <row r="43" spans="1:55" ht="13.5" thickBot="1" x14ac:dyDescent="0.25">
      <c r="A43" s="80"/>
      <c r="B43" s="3" t="str">
        <f>Segments!$C$50</f>
        <v>Clearwell</v>
      </c>
      <c r="C43" s="33">
        <v>1400</v>
      </c>
      <c r="D43" s="33">
        <v>10</v>
      </c>
      <c r="E43" s="33">
        <v>1.5</v>
      </c>
      <c r="F43" s="33">
        <v>7</v>
      </c>
      <c r="G43" s="35">
        <v>19</v>
      </c>
      <c r="H43" s="28">
        <f>IF(Segments!$C$50="Not In Use",0, (IF(Segments!$F$50="Rectangular",Segments!$D$53*D43-Segments!$D$54, IF(Segments!$C$50="Pipe",Segments!$D$53,Segments!$D$53*D43))))</f>
        <v>99184.800000000017</v>
      </c>
      <c r="I43" s="31">
        <f>IF(Segments!$C$4="Not In Use", 0, IF(C43=0,0,H43*E43/C43))</f>
        <v>106.26942857142858</v>
      </c>
      <c r="J43" s="19">
        <f>IF(I43=0, 0,IF(Segments!$D$50="Chlorine", (I43*EXP(0.071*G43)-0.42)/2.94, IF(Segments!$D$50="Chlorine Dioxide", (I43*EXP(0.072*G43)+35.15)/21.25, IF(Segments!$D$50="Ozone", (I43*EXP(0.068*G43)-0.01)/0.47, IF(Segments!$D$50="Chloramines", (I43*EXP(0.071*G43)+410.7)/849.5, 0)))))</f>
        <v>139.14853244625934</v>
      </c>
      <c r="K43" s="18">
        <f>IF(I43=0, 0,IF(Segments!$D$50="Chlorine", I43/(0.2828*F43^2.69*E43^0.15*0.933^(G43-5)), IF(Segments!$D$50="Chlorine Dioxide", ((I43*G43^0.49)+0.18)/23.85, IF(Segments!$D$50="Ozone", (I43*EXP(0.072*G43)-0.01)/0.98, IF(Segments!$D$50="Chloramines", (I43/(858.5-(24.3*G43))), 0)))))</f>
        <v>4.9757495366863838</v>
      </c>
      <c r="L43" s="25">
        <f t="shared" si="24"/>
        <v>34.787133111564835</v>
      </c>
      <c r="M43" s="19">
        <f t="shared" si="25"/>
        <v>1.6585831788954613</v>
      </c>
      <c r="O43" s="80"/>
      <c r="P43" s="3" t="str">
        <f>Segments!$C$50</f>
        <v>Clearwell</v>
      </c>
      <c r="Q43" s="33">
        <v>1400</v>
      </c>
      <c r="R43" s="33">
        <v>10</v>
      </c>
      <c r="S43" s="33">
        <v>1.5</v>
      </c>
      <c r="T43" s="33">
        <v>7</v>
      </c>
      <c r="U43" s="35">
        <v>19</v>
      </c>
      <c r="V43" s="28">
        <f>IF(Segments!$C$50="Not In Use",0, (IF(Segments!$F$50="Rectangular",Segments!$D$53*R43-Segments!$D$54, IF(Segments!$C$50="Pipe",Segments!$D$53,Segments!$D$53*R43))))</f>
        <v>99184.800000000017</v>
      </c>
      <c r="W43" s="31">
        <f>IF(Segments!$C$4="Not In Use", 0, IF(Q43=0,0,V43*S43/Q43))</f>
        <v>106.26942857142858</v>
      </c>
      <c r="X43" s="19">
        <f>IF(W43=0, 0,IF(Segments!$D$50="Chlorine", (W43*EXP(0.071*U43)-0.42)/2.94, IF(Segments!$D$50="Chlorine Dioxide", (W43*EXP(0.072*U43)+35.15)/21.25, IF(Segments!$D$50="Ozone", (W43*EXP(0.068*U43)-0.01)/0.47, IF(Segments!$D$50="Chloramines", (W43*EXP(0.071*U43)+410.7)/849.5, 0)))))</f>
        <v>139.14853244625934</v>
      </c>
      <c r="Y43" s="18">
        <f>IF(W43=0, 0,IF(Segments!$D$50="Chlorine", W43/(0.2828*T43^2.69*S43^0.15*0.933^(U43-5)), IF(Segments!$D$50="Chlorine Dioxide", ((W43*U43^0.49)+0.18)/23.85, IF(Segments!$D$50="Ozone", (W43*EXP(0.072*U43)-0.01)/0.98, IF(Segments!$D$50="Chloramines", (W43/(858.5-(24.3*U43))), 0)))))</f>
        <v>4.9757495366863838</v>
      </c>
      <c r="Z43" s="25">
        <f t="shared" si="26"/>
        <v>34.787133111564835</v>
      </c>
      <c r="AA43" s="19">
        <f t="shared" si="27"/>
        <v>1.6585831788954613</v>
      </c>
      <c r="AC43" s="80"/>
      <c r="AD43" s="3" t="str">
        <f>Segments!$C$50</f>
        <v>Clearwell</v>
      </c>
      <c r="AE43" s="33"/>
      <c r="AF43" s="33"/>
      <c r="AG43" s="33"/>
      <c r="AH43" s="33"/>
      <c r="AI43" s="35"/>
      <c r="AJ43" s="28">
        <f>IF(Segments!$C$50="Not In Use",0, (IF(Segments!$F$50="Rectangular",Segments!$D$53*AF43-Segments!$D$54, IF(Segments!$C$50="Pipe",Segments!$D$53,Segments!$D$53*AF43))))</f>
        <v>0</v>
      </c>
      <c r="AK43" s="31">
        <f>IF(Segments!$C$4="Not In Use", 0, IF(AE43=0,0,AJ43*AG43/AE43))</f>
        <v>0</v>
      </c>
      <c r="AL43" s="19">
        <f>IF(AK43=0, 0,IF(Segments!$D$50="Chlorine", (AK43*EXP(0.071*AI43)-0.42)/2.94, IF(Segments!$D$50="Chlorine Dioxide", (AK43*EXP(0.072*AI43)+35.15)/21.25, IF(Segments!$D$50="Ozone", (AK43*EXP(0.068*AI43)-0.01)/0.47, IF(Segments!$D$50="Chloramines", (AK43*EXP(0.071*AI43)+410.7)/849.5, 0)))))</f>
        <v>0</v>
      </c>
      <c r="AM43" s="18">
        <f>IF(AK43=0, 0,IF(Segments!$D$50="Chlorine", AK43/(0.2828*AH43^2.69*AG43^0.15*0.933^(AI43-5)), IF(Segments!$D$50="Chlorine Dioxide", ((AK43*AI43^0.49)+0.18)/23.85, IF(Segments!$D$50="Ozone", (AK43*EXP(0.072*AI43)-0.01)/0.98, IF(Segments!$D$50="Chloramines", (AK43/(858.5-(24.3*AI43))), 0)))))</f>
        <v>0</v>
      </c>
      <c r="AN43" s="25">
        <f t="shared" si="28"/>
        <v>0</v>
      </c>
      <c r="AO43" s="19">
        <f t="shared" si="29"/>
        <v>0</v>
      </c>
    </row>
    <row r="44" spans="1:55" ht="13.5" thickBot="1" x14ac:dyDescent="0.25">
      <c r="A44" s="80"/>
      <c r="B44" s="3" t="str">
        <f>Segments!$C$61</f>
        <v>Not In Use</v>
      </c>
      <c r="C44" s="33"/>
      <c r="D44" s="33"/>
      <c r="E44" s="33"/>
      <c r="F44" s="33"/>
      <c r="G44" s="35"/>
      <c r="H44" s="28">
        <f>IF(Segments!$C$61="Not In Use",0, (IF(Segments!$F$61="Rectangular",Segments!$D$64*D44-Segments!$D$65, IF(Segments!$C$61="Pipe",Segments!$D$64,Segments!$D$64*D44))))</f>
        <v>0</v>
      </c>
      <c r="I44" s="31">
        <f>IF(Segments!$C$4="Not In Use", 0, IF(C44=0,0,H44*E44/C44))</f>
        <v>0</v>
      </c>
      <c r="J44" s="19">
        <f>IF(I44=0, 0,IF(Segments!$D$61="Chlorine", (I44*EXP(0.071*G44)-0.42)/2.94, IF(Segments!$D$61="Chlorine Dioxide", (I44*EXP(0.072*G44)+35.15)/21.25, IF(Segments!$D$61="Ozone", (I44*EXP(0.068*G44)-0.01)/0.47, IF(Segments!$D$61="Chloramines", (I44*EXP(0.071*G44)+410.7)/849.5, 0)))))</f>
        <v>0</v>
      </c>
      <c r="K44" s="18">
        <f>IF(I44=0, 0,IF(Segments!$D$61="Chlorine", I44/(0.2828*F44^2.69*E44^0.15*0.933^(G44-5)), IF(Segments!$D$61="Chlorine Dioxide", ((I44*G44^0.49)+0.18)/23.85, IF(Segments!$D$61="Ozone", (I44*EXP(0.072*G44)-0.01)/0.98, IF(Segments!$D$61="Chloramines", (I44/(858.5-(24.3*G44))), 0)))))</f>
        <v>0</v>
      </c>
      <c r="L44" s="25">
        <f t="shared" si="24"/>
        <v>0</v>
      </c>
      <c r="M44" s="19">
        <f t="shared" si="25"/>
        <v>0</v>
      </c>
      <c r="O44" s="80"/>
      <c r="P44" s="3" t="str">
        <f>Segments!$C$61</f>
        <v>Not In Use</v>
      </c>
      <c r="Q44" s="33"/>
      <c r="R44" s="33"/>
      <c r="S44" s="33"/>
      <c r="T44" s="33"/>
      <c r="U44" s="35"/>
      <c r="V44" s="28">
        <f>IF(Segments!$C$61="Not In Use",0, (IF(Segments!$F$61="Rectangular",Segments!$D$64*R44-Segments!$D$65, IF(Segments!$C$61="Pipe",Segments!$D$64,Segments!$D$64*R44))))</f>
        <v>0</v>
      </c>
      <c r="W44" s="31">
        <f>IF(Segments!$C$4="Not In Use", 0, IF(Q44=0,0,V44*S44/Q44))</f>
        <v>0</v>
      </c>
      <c r="X44" s="19">
        <f>IF(W44=0, 0,IF(Segments!$D$61="Chlorine", (W44*EXP(0.071*U44)-0.42)/2.94, IF(Segments!$D$61="Chlorine Dioxide", (W44*EXP(0.072*U44)+35.15)/21.25, IF(Segments!$D$61="Ozone", (W44*EXP(0.068*U44)-0.01)/0.47, IF(Segments!$D$61="Chloramines", (W44*EXP(0.071*U44)+410.7)/849.5, 0)))))</f>
        <v>0</v>
      </c>
      <c r="Y44" s="18">
        <f>IF(W44=0, 0,IF(Segments!$D$61="Chlorine", W44/(0.2828*T44^2.69*S44^0.15*0.933^(U44-5)), IF(Segments!$D$61="Chlorine Dioxide", ((W44*U44^0.49)+0.18)/23.85, IF(Segments!$D$61="Ozone", (W44*EXP(0.072*U44)-0.01)/0.98, IF(Segments!$D$61="Chloramines", (W44/(858.5-(24.3*U44))), 0)))))</f>
        <v>0</v>
      </c>
      <c r="Z44" s="25">
        <f t="shared" si="26"/>
        <v>0</v>
      </c>
      <c r="AA44" s="19">
        <f t="shared" si="27"/>
        <v>0</v>
      </c>
      <c r="AC44" s="80"/>
      <c r="AD44" s="3" t="str">
        <f>Segments!$C$61</f>
        <v>Not In Use</v>
      </c>
      <c r="AE44" s="33"/>
      <c r="AF44" s="33"/>
      <c r="AG44" s="33"/>
      <c r="AH44" s="33"/>
      <c r="AI44" s="35"/>
      <c r="AJ44" s="28">
        <f>IF(Segments!$C$61="Not In Use",0, (IF(Segments!$F$61="Rectangular",Segments!$D$64*AF44-Segments!$D$65, IF(Segments!$C$61="Pipe",Segments!$D$64,Segments!$D$64*AF44))))</f>
        <v>0</v>
      </c>
      <c r="AK44" s="31">
        <f>IF(Segments!$C$4="Not In Use", 0, IF(AE44=0,0,AJ44*AG44/AE44))</f>
        <v>0</v>
      </c>
      <c r="AL44" s="19">
        <f>IF(AK44=0, 0,IF(Segments!$D$61="Chlorine", (AK44*EXP(0.071*AI44)-0.42)/2.94, IF(Segments!$D$61="Chlorine Dioxide", (AK44*EXP(0.072*AI44)+35.15)/21.25, IF(Segments!$D$61="Ozone", (AK44*EXP(0.068*AI44)-0.01)/0.47, IF(Segments!$D$61="Chloramines", (AK44*EXP(0.071*AI44)+410.7)/849.5, 0)))))</f>
        <v>0</v>
      </c>
      <c r="AM44" s="18">
        <f>IF(AK44=0, 0,IF(Segments!$D$61="Chlorine", AK44/(0.2828*AH44^2.69*AG44^0.15*0.933^(AI44-5)), IF(Segments!$D$61="Chlorine Dioxide", ((AK44*AI44^0.49)+0.18)/23.85, IF(Segments!$D$61="Ozone", (AK44*EXP(0.072*AI44)-0.01)/0.98, IF(Segments!$D$61="Chloramines", (AK44/(858.5-(24.3*AI44))), 0)))))</f>
        <v>0</v>
      </c>
      <c r="AN44" s="25">
        <f t="shared" si="28"/>
        <v>0</v>
      </c>
      <c r="AO44" s="19">
        <f t="shared" si="29"/>
        <v>0</v>
      </c>
    </row>
    <row r="45" spans="1:55" ht="13.5" thickBot="1" x14ac:dyDescent="0.25">
      <c r="A45" s="80"/>
      <c r="B45" s="3" t="str">
        <f>Segments!$C$74</f>
        <v>Not In Use</v>
      </c>
      <c r="C45" s="33"/>
      <c r="D45" s="33"/>
      <c r="E45" s="33"/>
      <c r="F45" s="33"/>
      <c r="G45" s="35"/>
      <c r="H45" s="28">
        <f>IF(Segments!$C$74="Not In Use",0, (IF(Segments!$F$74="Rectangular",Segments!$D$77*D45-Segments!$D$78, IF(Segments!$C$74="Pipe",Segments!$D$77,Segments!$D$77*D45))))</f>
        <v>0</v>
      </c>
      <c r="I45" s="31">
        <f>IF(Segments!$C$4="Not In Use", 0, IF(C45=0,0,H45*E45/C45))</f>
        <v>0</v>
      </c>
      <c r="J45" s="19">
        <f>IF(I45=0, 0,IF(Segments!$D$74="Chlorine", (I45*EXP(0.071*G45)-0.42)/2.94, IF(Segments!$D$74="Chlorine Dioxide", (I45*EXP(0.072*G45)+35.15)/21.25, IF(Segments!$D$74="Ozone", (I45*EXP(0.068*G45)-0.01)/0.47, IF(Segments!$D$74="Chloramines", (I45*EXP(0.071*G45)+410.7)/849.5, 0)))))</f>
        <v>0</v>
      </c>
      <c r="K45" s="18">
        <f>IF(I45=0, 0,IF(Segments!$D$74="Chlorine", I45/(0.2828*F45^2.69*E45^0.15*0.933^(G45-5)), IF(Segments!$D$74="Chlorine Dioxide", ((I45*G45^0.49)+0.18)/23.85, IF(Segments!$D$74="Ozone", (I45*EXP(0.072*G45)-0.01)/0.98, IF(Segments!$D$74="Chloramines", (I45/(858.5-(24.3*G45))), 0)))))</f>
        <v>0</v>
      </c>
      <c r="L45" s="25">
        <f t="shared" si="24"/>
        <v>0</v>
      </c>
      <c r="M45" s="19">
        <f t="shared" si="25"/>
        <v>0</v>
      </c>
      <c r="O45" s="80"/>
      <c r="P45" s="3" t="str">
        <f>Segments!$C$74</f>
        <v>Not In Use</v>
      </c>
      <c r="Q45" s="33"/>
      <c r="R45" s="33"/>
      <c r="S45" s="33"/>
      <c r="T45" s="33"/>
      <c r="U45" s="35"/>
      <c r="V45" s="28">
        <f>IF(Segments!$C$74="Not In Use",0, (IF(Segments!$F$74="Rectangular",Segments!$D$77*R45-Segments!$D$78, IF(Segments!$C$74="Pipe",Segments!$D$77,Segments!$D$77*R45))))</f>
        <v>0</v>
      </c>
      <c r="W45" s="31">
        <f>IF(Segments!$C$4="Not In Use", 0, IF(Q45=0,0,V45*S45/Q45))</f>
        <v>0</v>
      </c>
      <c r="X45" s="19">
        <f>IF(W45=0, 0,IF(Segments!$D$74="Chlorine", (W45*EXP(0.071*U45)-0.42)/2.94, IF(Segments!$D$74="Chlorine Dioxide", (W45*EXP(0.072*U45)+35.15)/21.25, IF(Segments!$D$74="Ozone", (W45*EXP(0.068*U45)-0.01)/0.47, IF(Segments!$D$74="Chloramines", (W45*EXP(0.071*U45)+410.7)/849.5, 0)))))</f>
        <v>0</v>
      </c>
      <c r="Y45" s="18">
        <f>IF(W45=0, 0,IF(Segments!$D$74="Chlorine", W45/(0.2828*T45^2.69*S45^0.15*0.933^(U45-5)), IF(Segments!$D$74="Chlorine Dioxide", ((W45*U45^0.49)+0.18)/23.85, IF(Segments!$D$74="Ozone", (W45*EXP(0.072*U45)-0.01)/0.98, IF(Segments!$D$74="Chloramines", (W45/(858.5-(24.3*U45))), 0)))))</f>
        <v>0</v>
      </c>
      <c r="Z45" s="25">
        <f t="shared" si="26"/>
        <v>0</v>
      </c>
      <c r="AA45" s="19">
        <f t="shared" si="27"/>
        <v>0</v>
      </c>
      <c r="AC45" s="80"/>
      <c r="AD45" s="3" t="str">
        <f>Segments!$C$74</f>
        <v>Not In Use</v>
      </c>
      <c r="AE45" s="33"/>
      <c r="AF45" s="33"/>
      <c r="AG45" s="33"/>
      <c r="AH45" s="33"/>
      <c r="AI45" s="35"/>
      <c r="AJ45" s="28">
        <f>IF(Segments!$C$74="Not In Use",0, (IF(Segments!$F$74="Rectangular",Segments!$D$77*AF45-Segments!$D$78, IF(Segments!$C$74="Pipe",Segments!$D$77,Segments!$D$77*AF45))))</f>
        <v>0</v>
      </c>
      <c r="AK45" s="31">
        <f>IF(Segments!$C$4="Not In Use", 0, IF(AE45=0,0,AJ45*AG45/AE45))</f>
        <v>0</v>
      </c>
      <c r="AL45" s="19">
        <f>IF(AK45=0, 0,IF(Segments!$D$74="Chlorine", (AK45*EXP(0.071*AI45)-0.42)/2.94, IF(Segments!$D$74="Chlorine Dioxide", (AK45*EXP(0.072*AI45)+35.15)/21.25, IF(Segments!$D$74="Ozone", (AK45*EXP(0.068*AI45)-0.01)/0.47, IF(Segments!$D$74="Chloramines", (AK45*EXP(0.071*AI45)+410.7)/849.5, 0)))))</f>
        <v>0</v>
      </c>
      <c r="AM45" s="18">
        <f>IF(AK45=0, 0,IF(Segments!$D$74="Chlorine", AK45/(0.2828*AH45^2.69*AG45^0.15*0.933^(AI45-5)), IF(Segments!$D$74="Chlorine Dioxide", ((AK45*AI45^0.49)+0.18)/23.85, IF(Segments!$D$74="Ozone", (AK45*EXP(0.072*AI45)-0.01)/0.98, IF(Segments!$D$74="Chloramines", (AK45/(858.5-(24.3*AI45))), 0)))))</f>
        <v>0</v>
      </c>
      <c r="AN45" s="25">
        <f t="shared" si="28"/>
        <v>0</v>
      </c>
      <c r="AO45" s="19">
        <f t="shared" si="29"/>
        <v>0</v>
      </c>
    </row>
    <row r="46" spans="1:55" ht="13.5" thickBot="1" x14ac:dyDescent="0.25">
      <c r="A46" s="80"/>
      <c r="B46" s="3" t="str">
        <f>Segments!$C$85</f>
        <v>Not In Use</v>
      </c>
      <c r="C46" s="33"/>
      <c r="D46" s="33"/>
      <c r="E46" s="33"/>
      <c r="F46" s="33"/>
      <c r="G46" s="35"/>
      <c r="H46" s="28">
        <f>IF(Segments!$C$85="Not In Use",0, (IF(Segments!$F$85="Rectangular",Segments!$D$88*D46-Segments!$D$89, IF(Segments!$C$85="Pipe",Segments!$D$88,Segments!$D$88*D46))))</f>
        <v>0</v>
      </c>
      <c r="I46" s="31">
        <f>IF(Segments!$C$4="Not In Use", 0, IF(C46=0,0,H46*E46/C46))</f>
        <v>0</v>
      </c>
      <c r="J46" s="19">
        <f>IF(I46=0, 0,IF(Segments!$D$85="Chlorine", (I46*EXP(0.071*G46)-0.42)/2.94, IF(Segments!$D$85="Chlorine Dioxide", (I46*EXP(0.072*G46)+35.15)/21.25, IF(Segments!$D$85="Ozone", (I46*EXP(0.068*G46)-0.01)/0.47, IF(Segments!$D$85="Chloramines", (I46*EXP(0.071*G46)+410.7)/849.5, 0)))))</f>
        <v>0</v>
      </c>
      <c r="K46" s="18">
        <f>IF(I46=0, 0,IF(Segments!$D$85="Chlorine", I46/(0.2828*F46^2.69*E46^0.15*0.933^(G46-5)), IF(Segments!$D$85="Chlorine Dioxide", ((I46*G46^0.49)+0.18)/23.85, IF(Segments!$D$85="Ozone", (I46*EXP(0.072*G46)-0.01)/0.98, IF(Segments!$D$85="Chloramines", (I46/(858.5-(24.3*G46))), 0)))))</f>
        <v>0</v>
      </c>
      <c r="L46" s="25">
        <f t="shared" si="24"/>
        <v>0</v>
      </c>
      <c r="M46" s="19">
        <f t="shared" si="25"/>
        <v>0</v>
      </c>
      <c r="O46" s="80"/>
      <c r="P46" s="3" t="str">
        <f>Segments!$C$85</f>
        <v>Not In Use</v>
      </c>
      <c r="Q46" s="33"/>
      <c r="R46" s="33"/>
      <c r="S46" s="33"/>
      <c r="T46" s="33"/>
      <c r="U46" s="35"/>
      <c r="V46" s="28">
        <f>IF(Segments!$C$85="Not In Use",0, (IF(Segments!$F$85="Rectangular",Segments!$D$88*R46-Segments!$D$89, IF(Segments!$C$85="Pipe",Segments!$D$88,Segments!$D$88*R46))))</f>
        <v>0</v>
      </c>
      <c r="W46" s="31">
        <f>IF(Segments!$C$4="Not In Use", 0, IF(Q46=0,0,V46*S46/Q46))</f>
        <v>0</v>
      </c>
      <c r="X46" s="19">
        <f>IF(W46=0, 0,IF(Segments!$D$85="Chlorine", (W46*EXP(0.071*U46)-0.42)/2.94, IF(Segments!$D$85="Chlorine Dioxide", (W46*EXP(0.072*U46)+35.15)/21.25, IF(Segments!$D$85="Ozone", (W46*EXP(0.068*U46)-0.01)/0.47, IF(Segments!$D$85="Chloramines", (W46*EXP(0.071*U46)+410.7)/849.5, 0)))))</f>
        <v>0</v>
      </c>
      <c r="Y46" s="18">
        <f>IF(W46=0, 0,IF(Segments!$D$85="Chlorine", W46/(0.2828*T46^2.69*S46^0.15*0.933^(U46-5)), IF(Segments!$D$85="Chlorine Dioxide", ((W46*U46^0.49)+0.18)/23.85, IF(Segments!$D$85="Ozone", (W46*EXP(0.072*U46)-0.01)/0.98, IF(Segments!$D$85="Chloramines", (W46/(858.5-(24.3*U46))), 0)))))</f>
        <v>0</v>
      </c>
      <c r="Z46" s="25">
        <f t="shared" si="26"/>
        <v>0</v>
      </c>
      <c r="AA46" s="19">
        <f t="shared" si="27"/>
        <v>0</v>
      </c>
      <c r="AC46" s="80"/>
      <c r="AD46" s="3" t="str">
        <f>Segments!$C$85</f>
        <v>Not In Use</v>
      </c>
      <c r="AE46" s="33"/>
      <c r="AF46" s="33"/>
      <c r="AG46" s="33"/>
      <c r="AH46" s="33"/>
      <c r="AI46" s="35"/>
      <c r="AJ46" s="28">
        <f>IF(Segments!$C$85="Not In Use",0, (IF(Segments!$F$85="Rectangular",Segments!$D$88*AF46-Segments!$D$89, IF(Segments!$C$85="Pipe",Segments!$D$88,Segments!$D$88*AF46))))</f>
        <v>0</v>
      </c>
      <c r="AK46" s="31">
        <f>IF(Segments!$C$4="Not In Use", 0, IF(AE46=0,0,AJ46*AG46/AE46))</f>
        <v>0</v>
      </c>
      <c r="AL46" s="19">
        <f>IF(AK46=0, 0,IF(Segments!$D$85="Chlorine", (AK46*EXP(0.071*AI46)-0.42)/2.94, IF(Segments!$D$85="Chlorine Dioxide", (AK46*EXP(0.072*AI46)+35.15)/21.25, IF(Segments!$D$85="Ozone", (AK46*EXP(0.068*AI46)-0.01)/0.47, IF(Segments!$D$85="Chloramines", (AK46*EXP(0.071*AI46)+410.7)/849.5, 0)))))</f>
        <v>0</v>
      </c>
      <c r="AM46" s="18">
        <f>IF(AK46=0, 0,IF(Segments!$D$85="Chlorine", AK46/(0.2828*AH46^2.69*AG46^0.15*0.933^(AI46-5)), IF(Segments!$D$85="Chlorine Dioxide", ((AK46*AI46^0.49)+0.18)/23.85, IF(Segments!$D$85="Ozone", (AK46*EXP(0.072*AI46)-0.01)/0.98, IF(Segments!$D$85="Chloramines", (AK46/(858.5-(24.3*AI46))), 0)))))</f>
        <v>0</v>
      </c>
      <c r="AN46" s="25">
        <f t="shared" si="28"/>
        <v>0</v>
      </c>
      <c r="AO46" s="19">
        <f t="shared" si="29"/>
        <v>0</v>
      </c>
    </row>
    <row r="47" spans="1:55" ht="13.5" thickBot="1" x14ac:dyDescent="0.25">
      <c r="A47" s="80"/>
      <c r="B47" s="3" t="str">
        <f>Segments!$C$96</f>
        <v>Not In Use</v>
      </c>
      <c r="C47" s="36"/>
      <c r="D47" s="36"/>
      <c r="E47" s="36"/>
      <c r="F47" s="36"/>
      <c r="G47" s="34"/>
      <c r="H47" s="29">
        <f>IF(Segments!$C$96="Not In Use",0, (IF(Segments!$F$96="Rectangular",Segments!$D$99*D47-Segments!$D$100, IF(Segments!$C$96="Pipe",Segments!$D$99,Segments!$D$99*D47))))</f>
        <v>0</v>
      </c>
      <c r="I47" s="32">
        <f>IF(Segments!$C$4="Not In Use", 0, IF(C47=0,0,H47*E47/C47))</f>
        <v>0</v>
      </c>
      <c r="J47" s="19">
        <f>IF(I47=0, 0,IF(Segments!$D$96="Chlorine", (I47*EXP(0.071*G47)-0.42)/2.94, IF(Segments!$D$96="Chlorine Dioxide", (I47*EXP(0.072*G47)+35.15)/21.25, IF(Segments!$D$96="Ozone", (I47*EXP(0.068*G47)-0.01)/0.47, IF(Segments!$D$96="Chloramines", (I47*EXP(0.071*G47)+410.7)/849.5, 0)))))</f>
        <v>0</v>
      </c>
      <c r="K47" s="18">
        <f>IF(I47=0, 0,IF(Segments!$D$96="Chlorine", I47/(0.2828*F47^2.69*E47^0.15*0.933^(G47-5)), IF(Segments!$D$96="Chlorine Dioxide", ((I47*G47^0.49)+0.18)/23.85, IF(Segments!$D$96="Ozone", (I47*EXP(0.072*G47)-0.01)/0.98, IF(Segments!$D$96="Chloramines", (I47/(858.5-(24.3*G47))), 0)))))</f>
        <v>0</v>
      </c>
      <c r="L47" s="25">
        <f t="shared" si="24"/>
        <v>0</v>
      </c>
      <c r="M47" s="19">
        <f t="shared" si="25"/>
        <v>0</v>
      </c>
      <c r="O47" s="80"/>
      <c r="P47" s="3" t="str">
        <f>Segments!$C$96</f>
        <v>Not In Use</v>
      </c>
      <c r="Q47" s="36"/>
      <c r="R47" s="36"/>
      <c r="S47" s="36"/>
      <c r="T47" s="36"/>
      <c r="U47" s="34"/>
      <c r="V47" s="29">
        <f>IF(Segments!$C$96="Not In Use",0, (IF(Segments!$F$96="Rectangular",Segments!$D$99*R47-Segments!$D$100, IF(Segments!$C$96="Pipe",Segments!$D$99,Segments!$D$99*R47))))</f>
        <v>0</v>
      </c>
      <c r="W47" s="32">
        <f>IF(Segments!$C$4="Not In Use", 0, IF(Q47=0,0,V47*S47/Q47))</f>
        <v>0</v>
      </c>
      <c r="X47" s="19">
        <f>IF(W47=0, 0,IF(Segments!$D$96="Chlorine", (W47*EXP(0.071*U47)-0.42)/2.94, IF(Segments!$D$96="Chlorine Dioxide", (W47*EXP(0.072*U47)+35.15)/21.25, IF(Segments!$D$96="Ozone", (W47*EXP(0.068*U47)-0.01)/0.47, IF(Segments!$D$96="Chloramines", (W47*EXP(0.071*U47)+410.7)/849.5, 0)))))</f>
        <v>0</v>
      </c>
      <c r="Y47" s="18">
        <f>IF(W47=0, 0,IF(Segments!$D$96="Chlorine", W47/(0.2828*T47^2.69*S47^0.15*0.933^(U47-5)), IF(Segments!$D$96="Chlorine Dioxide", ((W47*U47^0.49)+0.18)/23.85, IF(Segments!$D$96="Ozone", (W47*EXP(0.072*U47)-0.01)/0.98, IF(Segments!$D$96="Chloramines", (W47/(858.5-(24.3*U47))), 0)))))</f>
        <v>0</v>
      </c>
      <c r="Z47" s="25">
        <f t="shared" si="26"/>
        <v>0</v>
      </c>
      <c r="AA47" s="19">
        <f t="shared" si="27"/>
        <v>0</v>
      </c>
      <c r="AC47" s="80"/>
      <c r="AD47" s="3" t="str">
        <f>Segments!$C$96</f>
        <v>Not In Use</v>
      </c>
      <c r="AE47" s="36"/>
      <c r="AF47" s="36"/>
      <c r="AG47" s="36"/>
      <c r="AH47" s="36"/>
      <c r="AI47" s="34"/>
      <c r="AJ47" s="29">
        <f>IF(Segments!$C$96="Not In Use",0, (IF(Segments!$F$96="Rectangular",Segments!$D$99*AF47-Segments!$D$100, IF(Segments!$C$96="Pipe",Segments!$D$99,Segments!$D$99*AF47))))</f>
        <v>0</v>
      </c>
      <c r="AK47" s="32">
        <f>IF(Segments!$C$4="Not In Use", 0, IF(AE47=0,0,AJ47*AG47/AE47))</f>
        <v>0</v>
      </c>
      <c r="AL47" s="19">
        <f>IF(AK47=0, 0,IF(Segments!$D$96="Chlorine", (AK47*EXP(0.071*AI47)-0.42)/2.94, IF(Segments!$D$96="Chlorine Dioxide", (AK47*EXP(0.072*AI47)+35.15)/21.25, IF(Segments!$D$96="Ozone", (AK47*EXP(0.068*AI47)-0.01)/0.47, IF(Segments!$D$96="Chloramines", (AK47*EXP(0.071*AI47)+410.7)/849.5, 0)))))</f>
        <v>0</v>
      </c>
      <c r="AM47" s="18">
        <f>IF(AK47=0, 0,IF(Segments!$D$96="Chlorine", AK47/(0.2828*AH47^2.69*AG47^0.15*0.933^(AI47-5)), IF(Segments!$D$96="Chlorine Dioxide", ((AK47*AI47^0.49)+0.18)/23.85, IF(Segments!$D$96="Ozone", (AK47*EXP(0.072*AI47)-0.01)/0.98, IF(Segments!$D$96="Chloramines", (AK47/(858.5-(24.3*AI47))), 0)))))</f>
        <v>0</v>
      </c>
      <c r="AN47" s="25">
        <f t="shared" si="28"/>
        <v>0</v>
      </c>
      <c r="AO47" s="19">
        <f t="shared" si="29"/>
        <v>0</v>
      </c>
    </row>
    <row r="48" spans="1:55" ht="13.5" thickBot="1" x14ac:dyDescent="0.25">
      <c r="A48" s="81"/>
      <c r="B48" s="22" t="s">
        <v>42</v>
      </c>
      <c r="C48" s="23"/>
      <c r="D48" s="23"/>
      <c r="E48" s="23"/>
      <c r="F48" s="23"/>
      <c r="G48" s="23"/>
      <c r="H48" s="26"/>
      <c r="I48" s="50">
        <f>SUM(I39:I47)</f>
        <v>112.09274214285715</v>
      </c>
      <c r="J48" s="50">
        <f>SUM(J39:J47)</f>
        <v>146.49565716496525</v>
      </c>
      <c r="K48" s="50">
        <f>SUM(K39:K47)</f>
        <v>5.3142450391756331</v>
      </c>
      <c r="L48" s="50">
        <f>SUM(L39:L47)</f>
        <v>36.623914291241313</v>
      </c>
      <c r="M48" s="50">
        <f>SUM(M39:M47)</f>
        <v>1.7714150130585442</v>
      </c>
      <c r="O48" s="81"/>
      <c r="P48" s="22" t="s">
        <v>42</v>
      </c>
      <c r="Q48" s="23"/>
      <c r="R48" s="23"/>
      <c r="S48" s="23"/>
      <c r="T48" s="23"/>
      <c r="U48" s="23"/>
      <c r="V48" s="26"/>
      <c r="W48" s="50">
        <f>SUM(W39:W47)</f>
        <v>112.09274214285715</v>
      </c>
      <c r="X48" s="50">
        <f>SUM(X39:X47)</f>
        <v>146.49565716496525</v>
      </c>
      <c r="Y48" s="50">
        <f>SUM(Y39:Y47)</f>
        <v>5.3142450391756331</v>
      </c>
      <c r="Z48" s="50">
        <f>SUM(Z39:Z47)</f>
        <v>36.623914291241313</v>
      </c>
      <c r="AA48" s="50">
        <f>SUM(AA39:AA47)</f>
        <v>1.7714150130585442</v>
      </c>
      <c r="AC48" s="81"/>
      <c r="AD48" s="22" t="s">
        <v>42</v>
      </c>
      <c r="AE48" s="23"/>
      <c r="AF48" s="23"/>
      <c r="AG48" s="23"/>
      <c r="AH48" s="23"/>
      <c r="AI48" s="23"/>
      <c r="AJ48" s="26"/>
      <c r="AK48" s="50">
        <f>SUM(AK39:AK47)</f>
        <v>3.9219910714285717</v>
      </c>
      <c r="AL48" s="50">
        <f>SUM(AL39:AL47)</f>
        <v>3.7268927194332697</v>
      </c>
      <c r="AM48" s="50">
        <f>SUM(AM39:AM47)</f>
        <v>0.11557988836844089</v>
      </c>
      <c r="AN48" s="50">
        <f>SUM(AN39:AN47)</f>
        <v>0.93172317985831743</v>
      </c>
      <c r="AO48" s="50">
        <f>SUM(AO39:AO47)</f>
        <v>3.8526629456146967E-2</v>
      </c>
    </row>
    <row r="49" spans="1:41" ht="6.75" customHeight="1" thickBot="1" x14ac:dyDescent="0.25">
      <c r="A49" s="15"/>
      <c r="B49" s="15"/>
      <c r="C49" s="15"/>
      <c r="D49" s="15"/>
      <c r="E49" s="15"/>
      <c r="F49" s="15"/>
      <c r="G49" s="15"/>
      <c r="H49" s="15"/>
      <c r="I49" s="15"/>
      <c r="J49" s="15"/>
      <c r="K49" s="15"/>
      <c r="L49" s="15"/>
      <c r="M49" s="15"/>
      <c r="O49" s="15"/>
      <c r="P49" s="15"/>
      <c r="Q49" s="15"/>
      <c r="R49" s="15"/>
      <c r="S49" s="15"/>
      <c r="T49" s="15"/>
      <c r="U49" s="15"/>
      <c r="V49" s="15"/>
      <c r="W49" s="15"/>
      <c r="X49" s="15"/>
      <c r="Y49" s="15"/>
      <c r="Z49" s="15"/>
      <c r="AA49" s="15"/>
      <c r="AC49" s="15"/>
      <c r="AD49" s="15"/>
      <c r="AE49" s="15"/>
      <c r="AF49" s="15"/>
      <c r="AG49" s="15"/>
      <c r="AH49" s="15"/>
      <c r="AI49" s="15"/>
      <c r="AJ49" s="15"/>
      <c r="AK49" s="15"/>
      <c r="AL49" s="15"/>
      <c r="AM49" s="15"/>
      <c r="AN49" s="15"/>
      <c r="AO49" s="15"/>
    </row>
    <row r="50" spans="1:41" ht="51.75" customHeight="1" thickBot="1" x14ac:dyDescent="0.25">
      <c r="A50" s="79" t="s">
        <v>47</v>
      </c>
      <c r="B50" s="6" t="s">
        <v>23</v>
      </c>
      <c r="C50" s="16" t="s">
        <v>83</v>
      </c>
      <c r="D50" s="6" t="s">
        <v>38</v>
      </c>
      <c r="E50" s="16" t="s">
        <v>45</v>
      </c>
      <c r="F50" s="16" t="s">
        <v>6</v>
      </c>
      <c r="G50" s="16" t="s">
        <v>37</v>
      </c>
      <c r="H50" s="16" t="s">
        <v>35</v>
      </c>
      <c r="I50" s="16" t="s">
        <v>46</v>
      </c>
      <c r="J50" s="16" t="s">
        <v>39</v>
      </c>
      <c r="K50" s="16" t="s">
        <v>40</v>
      </c>
      <c r="L50" s="16" t="s">
        <v>41</v>
      </c>
      <c r="M50" s="17" t="s">
        <v>36</v>
      </c>
      <c r="O50" s="79" t="s">
        <v>53</v>
      </c>
      <c r="P50" s="6" t="s">
        <v>23</v>
      </c>
      <c r="Q50" s="16" t="s">
        <v>83</v>
      </c>
      <c r="R50" s="6" t="s">
        <v>38</v>
      </c>
      <c r="S50" s="16" t="s">
        <v>45</v>
      </c>
      <c r="T50" s="16" t="s">
        <v>6</v>
      </c>
      <c r="U50" s="16" t="s">
        <v>37</v>
      </c>
      <c r="V50" s="16" t="s">
        <v>35</v>
      </c>
      <c r="W50" s="16" t="s">
        <v>46</v>
      </c>
      <c r="X50" s="16" t="s">
        <v>39</v>
      </c>
      <c r="Y50" s="16" t="s">
        <v>40</v>
      </c>
      <c r="Z50" s="16" t="s">
        <v>41</v>
      </c>
      <c r="AA50" s="17" t="s">
        <v>36</v>
      </c>
    </row>
    <row r="51" spans="1:41" ht="13.5" thickBot="1" x14ac:dyDescent="0.25">
      <c r="A51" s="80"/>
      <c r="B51" s="3" t="str">
        <f>Segments!$C$4</f>
        <v>Rapid Mix</v>
      </c>
      <c r="C51" s="34">
        <v>1400</v>
      </c>
      <c r="D51" s="33">
        <v>12</v>
      </c>
      <c r="E51" s="33">
        <v>0.3</v>
      </c>
      <c r="F51" s="33">
        <v>6.9</v>
      </c>
      <c r="G51" s="35">
        <v>19</v>
      </c>
      <c r="H51" s="27">
        <f>IF(Segments!$C$4="Not In Use",0, (IF(Segments!$F$4="Rectangular",Segments!$D$7*D51-Segments!$D$8, IF(Segments!$C$4="Pipe",Segments!$D$7,Segments!$D$7*D51))))</f>
        <v>4392.63</v>
      </c>
      <c r="I51" s="30">
        <f>IF(Segments!$C$4="Not In Use", 0, IF(C51=0,0,H51*E51/C51))</f>
        <v>0.94127785714285717</v>
      </c>
      <c r="J51" s="21">
        <f>IF(I51=0, 0,IF(Segments!$D$4="Chlorine", (I51*EXP(0.071*G51)-0.42)/2.94, IF(Segments!$D$4="Chlorine Dioxide", (I51*EXP(0.072*G51)+35.15)/21.25, IF(Segments!$D$4="Ozone", (I51*EXP(0.068*G51)-0.01)/0.47, IF(Segments!$D$4="Chloramines", (I51*EXP(0.071*G51)+410.7)/849.5, 0)))))</f>
        <v>1.0909116133450996</v>
      </c>
      <c r="K51" s="20">
        <f>IF(I51=0, 0,IF(Segments!$D$4="Chlorine", I51/(0.2828*F51^2.69*E51^0.15*0.933^(G51-5)), IF(Segments!$D$4="Chlorine Dioxide", ((I51*G51^0.49)+0.18)/23.85, IF(Segments!$D$4="Ozone", (I51*EXP(0.072*G51)-0.01)/0.98, IF(Segments!$D$4="Chloramines", (I51/(858.5-(24.3*G51))), 0)))))</f>
        <v>5.8320761032030599E-2</v>
      </c>
      <c r="L51" s="24">
        <f>J51/4</f>
        <v>0.27272790333627489</v>
      </c>
      <c r="M51" s="21">
        <f>K51/3</f>
        <v>1.9440253677343533E-2</v>
      </c>
      <c r="O51" s="80"/>
      <c r="P51" s="3" t="str">
        <f>Segments!$C$4</f>
        <v>Rapid Mix</v>
      </c>
      <c r="Q51" s="34">
        <v>1400</v>
      </c>
      <c r="R51" s="33">
        <v>12</v>
      </c>
      <c r="S51" s="33">
        <v>0.3</v>
      </c>
      <c r="T51" s="33">
        <v>6.9</v>
      </c>
      <c r="U51" s="35">
        <v>19</v>
      </c>
      <c r="V51" s="27">
        <f>IF(Segments!$C$4="Not In Use",0, (IF(Segments!$F$4="Rectangular",Segments!$D$7*R51-Segments!$D$8, IF(Segments!$C$4="Pipe",Segments!$D$7,Segments!$D$7*R51))))</f>
        <v>4392.63</v>
      </c>
      <c r="W51" s="30">
        <f>IF(Segments!$C$4="Not In Use", 0, IF(Q51=0,0,V51*S51/Q51))</f>
        <v>0.94127785714285717</v>
      </c>
      <c r="X51" s="21">
        <f>IF(W51=0, 0,IF(Segments!$D$4="Chlorine", (W51*EXP(0.071*U51)-0.42)/2.94, IF(Segments!$D$4="Chlorine Dioxide", (W51*EXP(0.072*U51)+35.15)/21.25, IF(Segments!$D$4="Ozone", (W51*EXP(0.068*U51)-0.01)/0.47, IF(Segments!$D$4="Chloramines", (W51*EXP(0.071*U51)+410.7)/849.5, 0)))))</f>
        <v>1.0909116133450996</v>
      </c>
      <c r="Y51" s="20">
        <f>IF(W51=0, 0,IF(Segments!$D$4="Chlorine", W51/(0.2828*T51^2.69*S51^0.15*0.933^(U51-5)), IF(Segments!$D$4="Chlorine Dioxide", ((W51*U51^0.49)+0.18)/23.85, IF(Segments!$D$4="Ozone", (W51*EXP(0.072*U51)-0.01)/0.98, IF(Segments!$D$4="Chloramines", (W51/(858.5-(24.3*U51))), 0)))))</f>
        <v>5.8320761032030599E-2</v>
      </c>
      <c r="Z51" s="24">
        <f>X51/4</f>
        <v>0.27272790333627489</v>
      </c>
      <c r="AA51" s="21">
        <f>Y51/3</f>
        <v>1.9440253677343533E-2</v>
      </c>
    </row>
    <row r="52" spans="1:41" ht="13.5" thickBot="1" x14ac:dyDescent="0.25">
      <c r="A52" s="80"/>
      <c r="B52" s="3" t="str">
        <f>Segments!$C$15</f>
        <v>Flocculation</v>
      </c>
      <c r="C52" s="33">
        <v>1400</v>
      </c>
      <c r="D52" s="33">
        <v>12</v>
      </c>
      <c r="E52" s="33">
        <v>0</v>
      </c>
      <c r="F52" s="33">
        <v>6.9</v>
      </c>
      <c r="G52" s="35">
        <v>19</v>
      </c>
      <c r="H52" s="28">
        <f>IF(Segments!$C$15="Not In Use",0, (IF(Segments!$F$15="Rectangular",Segments!$D$18*D52-Segments!$D$19, IF(Segments!$C$15="Pipe",Segments!$D$18,Segments!$D$18*D52))))</f>
        <v>0</v>
      </c>
      <c r="I52" s="31">
        <f>IF(Segments!$C$4="Not In Use", 0, IF(C52=0,0,H52*E52/C52))</f>
        <v>0</v>
      </c>
      <c r="J52" s="19">
        <f>IF(I52=0, 0,IF(Segments!$D$15="Chlorine", (I52*EXP(0.071*G52)-0.42)/2.94, IF(Segments!$D$15="Chlorine Dioxide", (I52*EXP(0.072*G52)+35.15)/21.25, IF(Segments!$D$15="Ozone", (I52*EXP(0.068*G52)-0.01)/0.47, IF(Segments!$D$15="Chloramines", (I52*EXP(0.071*G52)+410.7)/849.5, 0)))))</f>
        <v>0</v>
      </c>
      <c r="K52" s="18">
        <f>IF(I52=0, 0,IF(Segments!$D$15="Chlorine", I52/(0.2828*F52^2.69*E52^0.15*0.933^(G52-5)), IF(Segments!$D$15="Chlorine Dioxide", ((I52*G52^0.49)+0.18)/23.85, IF(Segments!$D$15="Ozone", (I52*exp^(0.072*G52)-0.01)/0.98, IF(Segments!$D$15="Chloramines", (I52/(858.5-(24.3*G52))), 0)))))</f>
        <v>0</v>
      </c>
      <c r="L52" s="25">
        <f t="shared" ref="L52:L59" si="30">J52/4</f>
        <v>0</v>
      </c>
      <c r="M52" s="19">
        <f t="shared" ref="M52:M59" si="31">K52/3</f>
        <v>0</v>
      </c>
      <c r="O52" s="80"/>
      <c r="P52" s="3" t="str">
        <f>Segments!$C$15</f>
        <v>Flocculation</v>
      </c>
      <c r="Q52" s="33">
        <v>1400</v>
      </c>
      <c r="R52" s="33">
        <v>12</v>
      </c>
      <c r="S52" s="33">
        <v>0</v>
      </c>
      <c r="T52" s="33">
        <v>6.9</v>
      </c>
      <c r="U52" s="35">
        <v>19</v>
      </c>
      <c r="V52" s="28">
        <f>IF(Segments!$C$15="Not In Use",0, (IF(Segments!$F$15="Rectangular",Segments!$D$18*R52-Segments!$D$19, IF(Segments!$C$15="Pipe",Segments!$D$18,Segments!$D$18*R52))))</f>
        <v>0</v>
      </c>
      <c r="W52" s="31">
        <f>IF(Segments!$C$4="Not In Use", 0, IF(Q52=0,0,V52*S52/Q52))</f>
        <v>0</v>
      </c>
      <c r="X52" s="19">
        <f>IF(W52=0, 0,IF(Segments!$D$15="Chlorine", (W52*EXP(0.071*U52)-0.42)/2.94, IF(Segments!$D$15="Chlorine Dioxide", (W52*EXP(0.072*U52)+35.15)/21.25, IF(Segments!$D$15="Ozone", (W52*EXP(0.068*U52)-0.01)/0.47, IF(Segments!$D$15="Chloramines", (W52*EXP(0.071*U52)+410.7)/849.5, 0)))))</f>
        <v>0</v>
      </c>
      <c r="Y52" s="18">
        <f>IF(W52=0, 0,IF(Segments!$D$15="Chlorine", W52/(0.2828*T52^2.69*S52^0.15*0.933^(U52-5)), IF(Segments!$D$15="Chlorine Dioxide", ((W52*U52^0.49)+0.18)/23.85, IF(Segments!$D$15="Ozone", (W52*exp^(0.072*U52)-0.01)/0.98, IF(Segments!$D$15="Chloramines", (W52/(858.5-(24.3*U52))), 0)))))</f>
        <v>0</v>
      </c>
      <c r="Z52" s="25">
        <f t="shared" ref="Z52:Z59" si="32">X52/4</f>
        <v>0</v>
      </c>
      <c r="AA52" s="19">
        <f t="shared" ref="AA52:AA59" si="33">Y52/3</f>
        <v>0</v>
      </c>
    </row>
    <row r="53" spans="1:41" ht="13.5" thickBot="1" x14ac:dyDescent="0.25">
      <c r="A53" s="80"/>
      <c r="B53" s="3" t="str">
        <f>Segments!$C$26</f>
        <v>Sedimentation</v>
      </c>
      <c r="C53" s="33">
        <v>1400</v>
      </c>
      <c r="D53" s="33">
        <v>12</v>
      </c>
      <c r="E53" s="33">
        <v>0</v>
      </c>
      <c r="F53" s="33">
        <v>6.9</v>
      </c>
      <c r="G53" s="35">
        <v>19</v>
      </c>
      <c r="H53" s="28">
        <f>IF(Segments!$C$26="Not In Use",0, (IF(Segments!$F$26="Rectangular",Segments!$D$29*D53-Segments!$D$30, IF(Segments!$C$26="Pipe",Segments!$D$29,Segments!$D$29*D53))))</f>
        <v>0</v>
      </c>
      <c r="I53" s="31">
        <f>IF(Segments!$C$4="Not In Use", 0, IF(C53=0,0,H53*E53/C53))</f>
        <v>0</v>
      </c>
      <c r="J53" s="19">
        <f>IF(I53=0, 0,IF(Segments!$D$26="Chlorine", (I53*EXP(0.071*G53)-0.42)/2.94, IF(Segments!$D$26="Chlorine Dioxide", (I53*EXP(0.072*G53)+35.15)/21.25, IF(Segments!$D$26="Ozone", (I53*EXP(0.068*G53)-0.01)/0.47, IF(Segments!$D$26="Chloramines", (I53*EXP(0.071*G53)+410.7)/849.5, 0)))))</f>
        <v>0</v>
      </c>
      <c r="K53" s="18">
        <f>IF(I53=0, 0,IF(Segments!$D$26="Chlorine", I53/(0.2828*F53^2.69*E53^0.15*0.933^(G53-5)), IF(Segments!$D$26="Chlorine Dioxide", ((I53*G53^0.49)+0.18)/23.85, IF(Segments!$D$26="Ozone",((I53*EXP(0.072*G53)-0.01)/0.98),IF(Segments!$D$26="Chloramines", (I53/(858.5-(24.3*G53))), 0)))))</f>
        <v>0</v>
      </c>
      <c r="L53" s="25">
        <f t="shared" si="30"/>
        <v>0</v>
      </c>
      <c r="M53" s="19">
        <f t="shared" si="31"/>
        <v>0</v>
      </c>
      <c r="O53" s="80"/>
      <c r="P53" s="3" t="str">
        <f>Segments!$C$26</f>
        <v>Sedimentation</v>
      </c>
      <c r="Q53" s="33">
        <v>1400</v>
      </c>
      <c r="R53" s="33">
        <v>12</v>
      </c>
      <c r="S53" s="33">
        <v>0</v>
      </c>
      <c r="T53" s="33">
        <v>6.9</v>
      </c>
      <c r="U53" s="35">
        <v>19</v>
      </c>
      <c r="V53" s="28">
        <f>IF(Segments!$C$26="Not In Use",0, (IF(Segments!$F$26="Rectangular",Segments!$D$29*R53-Segments!$D$30, IF(Segments!$C$26="Pipe",Segments!$D$29,Segments!$D$29*R53))))</f>
        <v>0</v>
      </c>
      <c r="W53" s="31">
        <f>IF(Segments!$C$4="Not In Use", 0, IF(Q53=0,0,V53*S53/Q53))</f>
        <v>0</v>
      </c>
      <c r="X53" s="19">
        <f>IF(W53=0, 0,IF(Segments!$D$26="Chlorine", (W53*EXP(0.071*U53)-0.42)/2.94, IF(Segments!$D$26="Chlorine Dioxide", (W53*EXP(0.072*U53)+35.15)/21.25, IF(Segments!$D$26="Ozone", (W53*EXP(0.068*U53)-0.01)/0.47, IF(Segments!$D$26="Chloramines", (W53*EXP(0.071*U53)+410.7)/849.5, 0)))))</f>
        <v>0</v>
      </c>
      <c r="Y53" s="18">
        <f>IF(W53=0, 0,IF(Segments!$D$26="Chlorine", W53/(0.2828*T53^2.69*S53^0.15*0.933^(U53-5)), IF(Segments!$D$26="Chlorine Dioxide", ((W53*U53^0.49)+0.18)/23.85, IF(Segments!$D$26="Ozone",((W53*EXP(0.072*U53)-0.01)/0.98),IF(Segments!$D$26="Chloramines", (W53/(858.5-(24.3*U53))), 0)))))</f>
        <v>0</v>
      </c>
      <c r="Z53" s="25">
        <f t="shared" si="32"/>
        <v>0</v>
      </c>
      <c r="AA53" s="19">
        <f t="shared" si="33"/>
        <v>0</v>
      </c>
    </row>
    <row r="54" spans="1:41" ht="13.5" thickBot="1" x14ac:dyDescent="0.25">
      <c r="A54" s="80"/>
      <c r="B54" s="3" t="str">
        <f>Segments!$C$39</f>
        <v>Filtration</v>
      </c>
      <c r="C54" s="33">
        <v>1400</v>
      </c>
      <c r="D54" s="33">
        <v>5</v>
      </c>
      <c r="E54" s="33">
        <v>0.5</v>
      </c>
      <c r="F54" s="33">
        <v>6.9</v>
      </c>
      <c r="G54" s="35">
        <v>19</v>
      </c>
      <c r="H54" s="28">
        <f>IF(Segments!$C$39="Not In Use",0, (IF(Segments!$F$39="Rectangular",Segments!$D$42*D54-Segments!$D$43, IF(Segments!$C$39="Pipe",Segments!$D$42,Segments!$D$42*D54))))</f>
        <v>13669.7</v>
      </c>
      <c r="I54" s="31">
        <f>IF(Segments!$C$4="Not In Use", 0, IF(C54=0,0,H54*E54/C54))</f>
        <v>4.8820357142857143</v>
      </c>
      <c r="J54" s="19">
        <f>IF(I54=0, 0,IF(Segments!$D$39="Chlorine", (I54*EXP(0.071*G54)-0.42)/2.94, IF(Segments!$D$39="Chlorine Dioxide", (I54*EXP(0.072*G54)+35.15)/21.25, IF(Segments!$D$39="Ozone", (I54*EXP(0.068*G54)-0.01)/0.47, IF(Segments!$D$39="Chloramines", (I54*EXP(0.071*G54)+410.7)/849.5, 0)))))</f>
        <v>6.2562131053608159</v>
      </c>
      <c r="K54" s="18">
        <f>IF(I54=0, 0,IF(Segments!$D$39="Chlorine", I54/(0.2828*F54^2.69*E54^0.15*0.933^(G54-5)), IF(Segments!$D$39="Chlorine Dioxide", ((I54*G54^0.49)+0.18)/23.85, IF(Segments!$D$39="Ozone", (I54*EXP(0.072*G54)-0.01)/0.98, IF(Segments!$D$39="Chloramines", (I54/(858.5-(24.3*G54))), 0)))))</f>
        <v>0.28017474145721827</v>
      </c>
      <c r="L54" s="25">
        <f t="shared" si="30"/>
        <v>1.564053276340204</v>
      </c>
      <c r="M54" s="19">
        <f t="shared" si="31"/>
        <v>9.3391580485739423E-2</v>
      </c>
      <c r="O54" s="80"/>
      <c r="P54" s="3" t="str">
        <f>Segments!$C$39</f>
        <v>Filtration</v>
      </c>
      <c r="Q54" s="33">
        <v>1400</v>
      </c>
      <c r="R54" s="33">
        <v>5</v>
      </c>
      <c r="S54" s="33">
        <v>0.5</v>
      </c>
      <c r="T54" s="33">
        <v>6.9</v>
      </c>
      <c r="U54" s="35">
        <v>19</v>
      </c>
      <c r="V54" s="28">
        <f>IF(Segments!$C$39="Not In Use",0, (IF(Segments!$F$39="Rectangular",Segments!$D$42*R54-Segments!$D$43, IF(Segments!$C$39="Pipe",Segments!$D$42,Segments!$D$42*R54))))</f>
        <v>13669.7</v>
      </c>
      <c r="W54" s="31">
        <f>IF(Segments!$C$4="Not In Use", 0, IF(Q54=0,0,V54*S54/Q54))</f>
        <v>4.8820357142857143</v>
      </c>
      <c r="X54" s="19">
        <f>IF(W54=0, 0,IF(Segments!$D$39="Chlorine", (W54*EXP(0.071*U54)-0.42)/2.94, IF(Segments!$D$39="Chlorine Dioxide", (W54*EXP(0.072*U54)+35.15)/21.25, IF(Segments!$D$39="Ozone", (W54*EXP(0.068*U54)-0.01)/0.47, IF(Segments!$D$39="Chloramines", (W54*EXP(0.071*U54)+410.7)/849.5, 0)))))</f>
        <v>6.2562131053608159</v>
      </c>
      <c r="Y54" s="18">
        <f>IF(W54=0, 0,IF(Segments!$D$39="Chlorine", W54/(0.2828*T54^2.69*S54^0.15*0.933^(U54-5)), IF(Segments!$D$39="Chlorine Dioxide", ((W54*U54^0.49)+0.18)/23.85, IF(Segments!$D$39="Ozone", (W54*EXP(0.072*U54)-0.01)/0.98, IF(Segments!$D$39="Chloramines", (W54/(858.5-(24.3*U54))), 0)))))</f>
        <v>0.28017474145721827</v>
      </c>
      <c r="Z54" s="25">
        <f t="shared" si="32"/>
        <v>1.564053276340204</v>
      </c>
      <c r="AA54" s="19">
        <f t="shared" si="33"/>
        <v>9.3391580485739423E-2</v>
      </c>
    </row>
    <row r="55" spans="1:41" ht="13.5" thickBot="1" x14ac:dyDescent="0.25">
      <c r="A55" s="80"/>
      <c r="B55" s="3" t="str">
        <f>Segments!$C$50</f>
        <v>Clearwell</v>
      </c>
      <c r="C55" s="33">
        <v>1400</v>
      </c>
      <c r="D55" s="33">
        <v>10</v>
      </c>
      <c r="E55" s="33">
        <v>1.5</v>
      </c>
      <c r="F55" s="33">
        <v>7</v>
      </c>
      <c r="G55" s="35">
        <v>19</v>
      </c>
      <c r="H55" s="28">
        <f>IF(Segments!$C$50="Not In Use",0, (IF(Segments!$F$50="Rectangular",Segments!$D$53*D55-Segments!$D$54, IF(Segments!$C$50="Pipe",Segments!$D$53,Segments!$D$53*D55))))</f>
        <v>99184.800000000017</v>
      </c>
      <c r="I55" s="31">
        <f>IF(Segments!$C$4="Not In Use", 0, IF(C55=0,0,H55*E55/C55))</f>
        <v>106.26942857142858</v>
      </c>
      <c r="J55" s="19">
        <f>IF(I55=0, 0,IF(Segments!$D$50="Chlorine", (I55*EXP(0.071*G55)-0.42)/2.94, IF(Segments!$D$50="Chlorine Dioxide", (I55*EXP(0.072*G55)+35.15)/21.25, IF(Segments!$D$50="Ozone", (I55*EXP(0.068*G55)-0.01)/0.47, IF(Segments!$D$50="Chloramines", (I55*EXP(0.071*G55)+410.7)/849.5, 0)))))</f>
        <v>139.14853244625934</v>
      </c>
      <c r="K55" s="18">
        <f>IF(I55=0, 0,IF(Segments!$D$50="Chlorine", I55/(0.2828*F55^2.69*E55^0.15*0.933^(G55-5)), IF(Segments!$D$50="Chlorine Dioxide", ((I55*G55^0.49)+0.18)/23.85, IF(Segments!$D$50="Ozone", (I55*EXP(0.072*G55)-0.01)/0.98, IF(Segments!$D$50="Chloramines", (I55/(858.5-(24.3*G55))), 0)))))</f>
        <v>4.9757495366863838</v>
      </c>
      <c r="L55" s="25">
        <f t="shared" si="30"/>
        <v>34.787133111564835</v>
      </c>
      <c r="M55" s="19">
        <f t="shared" si="31"/>
        <v>1.6585831788954613</v>
      </c>
      <c r="O55" s="80"/>
      <c r="P55" s="3" t="str">
        <f>Segments!$C$50</f>
        <v>Clearwell</v>
      </c>
      <c r="Q55" s="33">
        <v>1400</v>
      </c>
      <c r="R55" s="33">
        <v>10</v>
      </c>
      <c r="S55" s="33">
        <v>1.5</v>
      </c>
      <c r="T55" s="33">
        <v>7</v>
      </c>
      <c r="U55" s="35">
        <v>19</v>
      </c>
      <c r="V55" s="28">
        <f>IF(Segments!$C$50="Not In Use",0, (IF(Segments!$F$50="Rectangular",Segments!$D$53*R55-Segments!$D$54, IF(Segments!$C$50="Pipe",Segments!$D$53,Segments!$D$53*R55))))</f>
        <v>99184.800000000017</v>
      </c>
      <c r="W55" s="31">
        <f>IF(Segments!$C$4="Not In Use", 0, IF(Q55=0,0,V55*S55/Q55))</f>
        <v>106.26942857142858</v>
      </c>
      <c r="X55" s="19">
        <f>IF(W55=0, 0,IF(Segments!$D$50="Chlorine", (W55*EXP(0.071*U55)-0.42)/2.94, IF(Segments!$D$50="Chlorine Dioxide", (W55*EXP(0.072*U55)+35.15)/21.25, IF(Segments!$D$50="Ozone", (W55*EXP(0.068*U55)-0.01)/0.47, IF(Segments!$D$50="Chloramines", (W55*EXP(0.071*U55)+410.7)/849.5, 0)))))</f>
        <v>139.14853244625934</v>
      </c>
      <c r="Y55" s="18">
        <f>IF(W55=0, 0,IF(Segments!$D$50="Chlorine", W55/(0.2828*T55^2.69*S55^0.15*0.933^(U55-5)), IF(Segments!$D$50="Chlorine Dioxide", ((W55*U55^0.49)+0.18)/23.85, IF(Segments!$D$50="Ozone", (W55*EXP(0.072*U55)-0.01)/0.98, IF(Segments!$D$50="Chloramines", (W55/(858.5-(24.3*U55))), 0)))))</f>
        <v>4.9757495366863838</v>
      </c>
      <c r="Z55" s="25">
        <f t="shared" si="32"/>
        <v>34.787133111564835</v>
      </c>
      <c r="AA55" s="19">
        <f t="shared" si="33"/>
        <v>1.6585831788954613</v>
      </c>
    </row>
    <row r="56" spans="1:41" ht="13.5" thickBot="1" x14ac:dyDescent="0.25">
      <c r="A56" s="80"/>
      <c r="B56" s="3" t="str">
        <f>Segments!$C$61</f>
        <v>Not In Use</v>
      </c>
      <c r="C56" s="33"/>
      <c r="D56" s="33"/>
      <c r="E56" s="33"/>
      <c r="F56" s="33"/>
      <c r="G56" s="35"/>
      <c r="H56" s="28">
        <f>IF(Segments!$C$61="Not In Use",0, (IF(Segments!$F$61="Rectangular",Segments!$D$64*D56-Segments!$D$65, IF(Segments!$C$61="Pipe",Segments!$D$64,Segments!$D$64*D56))))</f>
        <v>0</v>
      </c>
      <c r="I56" s="31">
        <f>IF(Segments!$C$4="Not In Use", 0, IF(C56=0,0,H56*E56/C56))</f>
        <v>0</v>
      </c>
      <c r="J56" s="19">
        <f>IF(I56=0, 0,IF(Segments!$D$61="Chlorine", (I56*EXP(0.071*G56)-0.42)/2.94, IF(Segments!$D$61="Chlorine Dioxide", (I56*EXP(0.072*G56)+35.15)/21.25, IF(Segments!$D$61="Ozone", (I56*EXP(0.068*G56)-0.01)/0.47, IF(Segments!$D$61="Chloramines", (I56*EXP(0.071*G56)+410.7)/849.5, 0)))))</f>
        <v>0</v>
      </c>
      <c r="K56" s="18">
        <f>IF(I56=0, 0,IF(Segments!$D$61="Chlorine", I56/(0.2828*F56^2.69*E56^0.15*0.933^(G56-5)), IF(Segments!$D$61="Chlorine Dioxide", ((I56*G56^0.49)+0.18)/23.85, IF(Segments!$D$61="Ozone", (I56*EXP(0.072*G56)-0.01)/0.98, IF(Segments!$D$61="Chloramines", (I56/(858.5-(24.3*G56))), 0)))))</f>
        <v>0</v>
      </c>
      <c r="L56" s="25">
        <f t="shared" si="30"/>
        <v>0</v>
      </c>
      <c r="M56" s="19">
        <f t="shared" si="31"/>
        <v>0</v>
      </c>
      <c r="O56" s="80"/>
      <c r="P56" s="3" t="str">
        <f>Segments!$C$61</f>
        <v>Not In Use</v>
      </c>
      <c r="Q56" s="33"/>
      <c r="R56" s="33"/>
      <c r="S56" s="33"/>
      <c r="T56" s="33"/>
      <c r="U56" s="35"/>
      <c r="V56" s="28">
        <f>IF(Segments!$C$61="Not In Use",0, (IF(Segments!$F$61="Rectangular",Segments!$D$64*R56-Segments!$D$65, IF(Segments!$C$61="Pipe",Segments!$D$64,Segments!$D$64*R56))))</f>
        <v>0</v>
      </c>
      <c r="W56" s="31">
        <f>IF(Segments!$C$4="Not In Use", 0, IF(Q56=0,0,V56*S56/Q56))</f>
        <v>0</v>
      </c>
      <c r="X56" s="19">
        <f>IF(W56=0, 0,IF(Segments!$D$61="Chlorine", (W56*EXP(0.071*U56)-0.42)/2.94, IF(Segments!$D$61="Chlorine Dioxide", (W56*EXP(0.072*U56)+35.15)/21.25, IF(Segments!$D$61="Ozone", (W56*EXP(0.068*U56)-0.01)/0.47, IF(Segments!$D$61="Chloramines", (W56*EXP(0.071*U56)+410.7)/849.5, 0)))))</f>
        <v>0</v>
      </c>
      <c r="Y56" s="18">
        <f>IF(W56=0, 0,IF(Segments!$D$61="Chlorine", W56/(0.2828*T56^2.69*S56^0.15*0.933^(U56-5)), IF(Segments!$D$61="Chlorine Dioxide", ((W56*U56^0.49)+0.18)/23.85, IF(Segments!$D$61="Ozone", (W56*EXP(0.072*U56)-0.01)/0.98, IF(Segments!$D$61="Chloramines", (W56/(858.5-(24.3*U56))), 0)))))</f>
        <v>0</v>
      </c>
      <c r="Z56" s="25">
        <f t="shared" si="32"/>
        <v>0</v>
      </c>
      <c r="AA56" s="19">
        <f t="shared" si="33"/>
        <v>0</v>
      </c>
    </row>
    <row r="57" spans="1:41" ht="13.5" thickBot="1" x14ac:dyDescent="0.25">
      <c r="A57" s="80"/>
      <c r="B57" s="3" t="str">
        <f>Segments!$C$74</f>
        <v>Not In Use</v>
      </c>
      <c r="C57" s="33"/>
      <c r="D57" s="33"/>
      <c r="E57" s="33"/>
      <c r="F57" s="33"/>
      <c r="G57" s="35"/>
      <c r="H57" s="28">
        <f>IF(Segments!$C$74="Not In Use",0, (IF(Segments!$F$74="Rectangular",Segments!$D$77*D57-Segments!$D$78, IF(Segments!$C$74="Pipe",Segments!$D$77,Segments!$D$77*D57))))</f>
        <v>0</v>
      </c>
      <c r="I57" s="31">
        <f>IF(Segments!$C$4="Not In Use", 0, IF(C57=0,0,H57*E57/C57))</f>
        <v>0</v>
      </c>
      <c r="J57" s="19">
        <f>IF(I57=0, 0,IF(Segments!$D$74="Chlorine", (I57*EXP(0.071*G57)-0.42)/2.94, IF(Segments!$D$74="Chlorine Dioxide", (I57*EXP(0.072*G57)+35.15)/21.25, IF(Segments!$D$74="Ozone", (I57*EXP(0.068*G57)-0.01)/0.47, IF(Segments!$D$74="Chloramines", (I57*EXP(0.071*G57)+410.7)/849.5, 0)))))</f>
        <v>0</v>
      </c>
      <c r="K57" s="18">
        <f>IF(I57=0, 0,IF(Segments!$D$74="Chlorine", I57/(0.2828*F57^2.69*E57^0.15*0.933^(G57-5)), IF(Segments!$D$74="Chlorine Dioxide", ((I57*G57^0.49)+0.18)/23.85, IF(Segments!$D$74="Ozone", (I57*EXP(0.072*G57)-0.01)/0.98, IF(Segments!$D$74="Chloramines", (I57/(858.5-(24.3*G57))), 0)))))</f>
        <v>0</v>
      </c>
      <c r="L57" s="25">
        <f t="shared" si="30"/>
        <v>0</v>
      </c>
      <c r="M57" s="19">
        <f t="shared" si="31"/>
        <v>0</v>
      </c>
      <c r="O57" s="80"/>
      <c r="P57" s="3" t="str">
        <f>Segments!$C$74</f>
        <v>Not In Use</v>
      </c>
      <c r="Q57" s="33"/>
      <c r="R57" s="33"/>
      <c r="S57" s="33"/>
      <c r="T57" s="33"/>
      <c r="U57" s="35"/>
      <c r="V57" s="28">
        <f>IF(Segments!$C$74="Not In Use",0, (IF(Segments!$F$74="Rectangular",Segments!$D$77*R57-Segments!$D$78, IF(Segments!$C$74="Pipe",Segments!$D$77,Segments!$D$77*R57))))</f>
        <v>0</v>
      </c>
      <c r="W57" s="31">
        <f>IF(Segments!$C$4="Not In Use", 0, IF(Q57=0,0,V57*S57/Q57))</f>
        <v>0</v>
      </c>
      <c r="X57" s="19">
        <f>IF(W57=0, 0,IF(Segments!$D$74="Chlorine", (W57*EXP(0.071*U57)-0.42)/2.94, IF(Segments!$D$74="Chlorine Dioxide", (W57*EXP(0.072*U57)+35.15)/21.25, IF(Segments!$D$74="Ozone", (W57*EXP(0.068*U57)-0.01)/0.47, IF(Segments!$D$74="Chloramines", (W57*EXP(0.071*U57)+410.7)/849.5, 0)))))</f>
        <v>0</v>
      </c>
      <c r="Y57" s="18">
        <f>IF(W57=0, 0,IF(Segments!$D$74="Chlorine", W57/(0.2828*T57^2.69*S57^0.15*0.933^(U57-5)), IF(Segments!$D$74="Chlorine Dioxide", ((W57*U57^0.49)+0.18)/23.85, IF(Segments!$D$74="Ozone", (W57*EXP(0.072*U57)-0.01)/0.98, IF(Segments!$D$74="Chloramines", (W57/(858.5-(24.3*U57))), 0)))))</f>
        <v>0</v>
      </c>
      <c r="Z57" s="25">
        <f t="shared" si="32"/>
        <v>0</v>
      </c>
      <c r="AA57" s="19">
        <f t="shared" si="33"/>
        <v>0</v>
      </c>
    </row>
    <row r="58" spans="1:41" ht="13.5" thickBot="1" x14ac:dyDescent="0.25">
      <c r="A58" s="80"/>
      <c r="B58" s="3" t="str">
        <f>Segments!$C$85</f>
        <v>Not In Use</v>
      </c>
      <c r="C58" s="33"/>
      <c r="D58" s="33"/>
      <c r="E58" s="33"/>
      <c r="F58" s="33"/>
      <c r="G58" s="35"/>
      <c r="H58" s="28">
        <f>IF(Segments!$C$85="Not In Use",0, (IF(Segments!$F$85="Rectangular",Segments!$D$88*D58-Segments!$D$89, IF(Segments!$C$85="Pipe",Segments!$D$88,Segments!$D$88*D58))))</f>
        <v>0</v>
      </c>
      <c r="I58" s="31">
        <f>IF(Segments!$C$4="Not In Use", 0, IF(C58=0,0,H58*E58/C58))</f>
        <v>0</v>
      </c>
      <c r="J58" s="19">
        <f>IF(I58=0, 0,IF(Segments!$D$85="Chlorine", (I58*EXP(0.071*G58)-0.42)/2.94, IF(Segments!$D$85="Chlorine Dioxide", (I58*EXP(0.072*G58)+35.15)/21.25, IF(Segments!$D$85="Ozone", (I58*EXP(0.068*G58)-0.01)/0.47, IF(Segments!$D$85="Chloramines", (I58*EXP(0.071*G58)+410.7)/849.5, 0)))))</f>
        <v>0</v>
      </c>
      <c r="K58" s="18">
        <f>IF(I58=0, 0,IF(Segments!$D$85="Chlorine", I58/(0.2828*F58^2.69*E58^0.15*0.933^(G58-5)), IF(Segments!$D$85="Chlorine Dioxide", ((I58*G58^0.49)+0.18)/23.85, IF(Segments!$D$85="Ozone", (I58*EXP(0.072*G58)-0.01)/0.98, IF(Segments!$D$85="Chloramines", (I58/(858.5-(24.3*G58))), 0)))))</f>
        <v>0</v>
      </c>
      <c r="L58" s="25">
        <f t="shared" si="30"/>
        <v>0</v>
      </c>
      <c r="M58" s="19">
        <f t="shared" si="31"/>
        <v>0</v>
      </c>
      <c r="O58" s="80"/>
      <c r="P58" s="3" t="str">
        <f>Segments!$C$85</f>
        <v>Not In Use</v>
      </c>
      <c r="Q58" s="33"/>
      <c r="R58" s="33"/>
      <c r="S58" s="33"/>
      <c r="T58" s="33"/>
      <c r="U58" s="35"/>
      <c r="V58" s="28">
        <f>IF(Segments!$C$85="Not In Use",0, (IF(Segments!$F$85="Rectangular",Segments!$D$88*R58-Segments!$D$89, IF(Segments!$C$85="Pipe",Segments!$D$88,Segments!$D$88*R58))))</f>
        <v>0</v>
      </c>
      <c r="W58" s="31">
        <f>IF(Segments!$C$4="Not In Use", 0, IF(Q58=0,0,V58*S58/Q58))</f>
        <v>0</v>
      </c>
      <c r="X58" s="19">
        <f>IF(W58=0, 0,IF(Segments!$D$85="Chlorine", (W58*EXP(0.071*U58)-0.42)/2.94, IF(Segments!$D$85="Chlorine Dioxide", (W58*EXP(0.072*U58)+35.15)/21.25, IF(Segments!$D$85="Ozone", (W58*EXP(0.068*U58)-0.01)/0.47, IF(Segments!$D$85="Chloramines", (W58*EXP(0.071*U58)+410.7)/849.5, 0)))))</f>
        <v>0</v>
      </c>
      <c r="Y58" s="18">
        <f>IF(W58=0, 0,IF(Segments!$D$85="Chlorine", W58/(0.2828*T58^2.69*S58^0.15*0.933^(U58-5)), IF(Segments!$D$85="Chlorine Dioxide", ((W58*U58^0.49)+0.18)/23.85, IF(Segments!$D$85="Ozone", (W58*EXP(0.072*U58)-0.01)/0.98, IF(Segments!$D$85="Chloramines", (W58/(858.5-(24.3*U58))), 0)))))</f>
        <v>0</v>
      </c>
      <c r="Z58" s="25">
        <f t="shared" si="32"/>
        <v>0</v>
      </c>
      <c r="AA58" s="19">
        <f t="shared" si="33"/>
        <v>0</v>
      </c>
    </row>
    <row r="59" spans="1:41" ht="13.5" thickBot="1" x14ac:dyDescent="0.25">
      <c r="A59" s="80"/>
      <c r="B59" s="3" t="str">
        <f>Segments!$C$96</f>
        <v>Not In Use</v>
      </c>
      <c r="C59" s="36"/>
      <c r="D59" s="36"/>
      <c r="E59" s="36"/>
      <c r="F59" s="36"/>
      <c r="G59" s="34"/>
      <c r="H59" s="29">
        <f>IF(Segments!$C$96="Not In Use",0, (IF(Segments!$F$96="Rectangular",Segments!$D$99*D59-Segments!$D$100, IF(Segments!$C$96="Pipe",Segments!$D$99,Segments!$D$99*D59))))</f>
        <v>0</v>
      </c>
      <c r="I59" s="32">
        <f>IF(Segments!$C$4="Not In Use", 0, IF(C59=0,0,H59*E59/C59))</f>
        <v>0</v>
      </c>
      <c r="J59" s="19">
        <f>IF(I59=0, 0,IF(Segments!$D$96="Chlorine", (I59*EXP(0.071*G59)-0.42)/2.94, IF(Segments!$D$96="Chlorine Dioxide", (I59*EXP(0.072*G59)+35.15)/21.25, IF(Segments!$D$96="Ozone", (I59*EXP(0.068*G59)-0.01)/0.47, IF(Segments!$D$96="Chloramines", (I59*EXP(0.071*G59)+410.7)/849.5, 0)))))</f>
        <v>0</v>
      </c>
      <c r="K59" s="18">
        <f>IF(I59=0, 0,IF(Segments!$D$96="Chlorine", I59/(0.2828*F59^2.69*E59^0.15*0.933^(G59-5)), IF(Segments!$D$96="Chlorine Dioxide", ((I59*G59^0.49)+0.18)/23.85, IF(Segments!$D$96="Ozone", (I59*EXP(0.072*G59)-0.01)/0.98, IF(Segments!$D$96="Chloramines", (I59/(858.5-(24.3*G59))), 0)))))</f>
        <v>0</v>
      </c>
      <c r="L59" s="25">
        <f t="shared" si="30"/>
        <v>0</v>
      </c>
      <c r="M59" s="19">
        <f t="shared" si="31"/>
        <v>0</v>
      </c>
      <c r="O59" s="80"/>
      <c r="P59" s="3" t="str">
        <f>Segments!$C$96</f>
        <v>Not In Use</v>
      </c>
      <c r="Q59" s="36"/>
      <c r="R59" s="36"/>
      <c r="S59" s="36"/>
      <c r="T59" s="36"/>
      <c r="U59" s="34"/>
      <c r="V59" s="29">
        <f>IF(Segments!$C$96="Not In Use",0, (IF(Segments!$F$96="Rectangular",Segments!$D$99*R59-Segments!$D$100, IF(Segments!$C$96="Pipe",Segments!$D$99,Segments!$D$99*R59))))</f>
        <v>0</v>
      </c>
      <c r="W59" s="32">
        <f>IF(Segments!$C$4="Not In Use", 0, IF(Q59=0,0,V59*S59/Q59))</f>
        <v>0</v>
      </c>
      <c r="X59" s="19">
        <f>IF(W59=0, 0,IF(Segments!$D$96="Chlorine", (W59*EXP(0.071*U59)-0.42)/2.94, IF(Segments!$D$96="Chlorine Dioxide", (W59*EXP(0.072*U59)+35.15)/21.25, IF(Segments!$D$96="Ozone", (W59*EXP(0.068*U59)-0.01)/0.47, IF(Segments!$D$96="Chloramines", (W59*EXP(0.071*U59)+410.7)/849.5, 0)))))</f>
        <v>0</v>
      </c>
      <c r="Y59" s="18">
        <f>IF(W59=0, 0,IF(Segments!$D$96="Chlorine", W59/(0.2828*T59^2.69*S59^0.15*0.933^(U59-5)), IF(Segments!$D$96="Chlorine Dioxide", ((W59*U59^0.49)+0.18)/23.85, IF(Segments!$D$96="Ozone", (W59*EXP(0.072*U59)-0.01)/0.98, IF(Segments!$D$96="Chloramines", (W59/(858.5-(24.3*U59))), 0)))))</f>
        <v>0</v>
      </c>
      <c r="Z59" s="25">
        <f t="shared" si="32"/>
        <v>0</v>
      </c>
      <c r="AA59" s="19">
        <f t="shared" si="33"/>
        <v>0</v>
      </c>
    </row>
    <row r="60" spans="1:41" ht="13.5" thickBot="1" x14ac:dyDescent="0.25">
      <c r="A60" s="81"/>
      <c r="B60" s="22" t="s">
        <v>42</v>
      </c>
      <c r="C60" s="23"/>
      <c r="D60" s="23"/>
      <c r="E60" s="23"/>
      <c r="F60" s="23"/>
      <c r="G60" s="23"/>
      <c r="H60" s="26"/>
      <c r="I60" s="50">
        <f>SUM(I51:I59)</f>
        <v>112.09274214285715</v>
      </c>
      <c r="J60" s="50">
        <f>SUM(J51:J59)</f>
        <v>146.49565716496525</v>
      </c>
      <c r="K60" s="50">
        <f>SUM(K51:K59)</f>
        <v>5.3142450391756331</v>
      </c>
      <c r="L60" s="50">
        <f>SUM(L51:L59)</f>
        <v>36.623914291241313</v>
      </c>
      <c r="M60" s="50">
        <f>SUM(M51:M59)</f>
        <v>1.7714150130585442</v>
      </c>
      <c r="O60" s="81"/>
      <c r="P60" s="22" t="s">
        <v>42</v>
      </c>
      <c r="Q60" s="23"/>
      <c r="R60" s="23"/>
      <c r="S60" s="23"/>
      <c r="T60" s="23"/>
      <c r="U60" s="23"/>
      <c r="V60" s="26"/>
      <c r="W60" s="50">
        <f>SUM(W51:W59)</f>
        <v>112.09274214285715</v>
      </c>
      <c r="X60" s="50">
        <f>SUM(X51:X59)</f>
        <v>146.49565716496525</v>
      </c>
      <c r="Y60" s="50">
        <f>SUM(Y51:Y59)</f>
        <v>5.3142450391756331</v>
      </c>
      <c r="Z60" s="50">
        <f>SUM(Z51:Z59)</f>
        <v>36.623914291241313</v>
      </c>
      <c r="AA60" s="50">
        <f>SUM(AA51:AA59)</f>
        <v>1.7714150130585442</v>
      </c>
    </row>
    <row r="61" spans="1:41" ht="6.75" customHeight="1" thickBot="1" x14ac:dyDescent="0.25">
      <c r="A61" s="15"/>
      <c r="B61" s="15"/>
      <c r="C61" s="15"/>
      <c r="D61" s="15"/>
      <c r="E61" s="15"/>
      <c r="F61" s="15"/>
      <c r="G61" s="15"/>
      <c r="H61" s="15"/>
      <c r="I61" s="15"/>
      <c r="J61" s="15"/>
      <c r="K61" s="15"/>
      <c r="L61" s="15"/>
      <c r="M61" s="15"/>
      <c r="O61" s="15"/>
      <c r="P61" s="15"/>
      <c r="Q61" s="15"/>
      <c r="R61" s="15"/>
      <c r="S61" s="15"/>
      <c r="T61" s="15"/>
      <c r="U61" s="15"/>
      <c r="V61" s="15"/>
      <c r="W61" s="15"/>
      <c r="X61" s="15"/>
      <c r="Y61" s="15"/>
      <c r="Z61" s="15"/>
      <c r="AA61" s="15"/>
    </row>
    <row r="62" spans="1:41" ht="51.75" customHeight="1" thickBot="1" x14ac:dyDescent="0.25">
      <c r="A62" s="79" t="s">
        <v>48</v>
      </c>
      <c r="B62" s="6" t="s">
        <v>23</v>
      </c>
      <c r="C62" s="16" t="s">
        <v>83</v>
      </c>
      <c r="D62" s="6" t="s">
        <v>38</v>
      </c>
      <c r="E62" s="16" t="s">
        <v>45</v>
      </c>
      <c r="F62" s="16" t="s">
        <v>6</v>
      </c>
      <c r="G62" s="16" t="s">
        <v>37</v>
      </c>
      <c r="H62" s="16" t="s">
        <v>35</v>
      </c>
      <c r="I62" s="16" t="s">
        <v>46</v>
      </c>
      <c r="J62" s="16" t="s">
        <v>39</v>
      </c>
      <c r="K62" s="16" t="s">
        <v>40</v>
      </c>
      <c r="L62" s="16" t="s">
        <v>41</v>
      </c>
      <c r="M62" s="17" t="s">
        <v>36</v>
      </c>
      <c r="O62" s="79" t="s">
        <v>54</v>
      </c>
      <c r="P62" s="6" t="s">
        <v>23</v>
      </c>
      <c r="Q62" s="16" t="s">
        <v>83</v>
      </c>
      <c r="R62" s="6" t="s">
        <v>38</v>
      </c>
      <c r="S62" s="16" t="s">
        <v>45</v>
      </c>
      <c r="T62" s="16" t="s">
        <v>6</v>
      </c>
      <c r="U62" s="16" t="s">
        <v>37</v>
      </c>
      <c r="V62" s="16" t="s">
        <v>35</v>
      </c>
      <c r="W62" s="16" t="s">
        <v>46</v>
      </c>
      <c r="X62" s="16" t="s">
        <v>39</v>
      </c>
      <c r="Y62" s="16" t="s">
        <v>40</v>
      </c>
      <c r="Z62" s="16" t="s">
        <v>41</v>
      </c>
      <c r="AA62" s="17" t="s">
        <v>36</v>
      </c>
    </row>
    <row r="63" spans="1:41" ht="13.5" thickBot="1" x14ac:dyDescent="0.25">
      <c r="A63" s="80"/>
      <c r="B63" s="3" t="str">
        <f>Segments!$C$4</f>
        <v>Rapid Mix</v>
      </c>
      <c r="C63" s="34">
        <v>1400</v>
      </c>
      <c r="D63" s="33">
        <v>12</v>
      </c>
      <c r="E63" s="33">
        <v>0.3</v>
      </c>
      <c r="F63" s="33">
        <v>6.9</v>
      </c>
      <c r="G63" s="35">
        <v>19</v>
      </c>
      <c r="H63" s="27">
        <f>IF(Segments!$C$4="Not In Use",0, (IF(Segments!$F$4="Rectangular",Segments!$D$7*D63-Segments!$D$8, IF(Segments!$C$4="Pipe",Segments!$D$7,Segments!$D$7*D63))))</f>
        <v>4392.63</v>
      </c>
      <c r="I63" s="30">
        <f>IF(Segments!$C$4="Not In Use", 0, IF(C63=0,0,H63*E63/C63))</f>
        <v>0.94127785714285717</v>
      </c>
      <c r="J63" s="21">
        <f>IF(I63=0, 0,IF(Segments!$D$4="Chlorine", (I63*EXP(0.071*G63)-0.42)/2.94, IF(Segments!$D$4="Chlorine Dioxide", (I63*EXP(0.072*G63)+35.15)/21.25, IF(Segments!$D$4="Ozone", (I63*EXP(0.068*G63)-0.01)/0.47, IF(Segments!$D$4="Chloramines", (I63*EXP(0.071*G63)+410.7)/849.5, 0)))))</f>
        <v>1.0909116133450996</v>
      </c>
      <c r="K63" s="20">
        <f>IF(I63=0, 0,IF(Segments!$D$4="Chlorine", I63/(0.2828*F63^2.69*E63^0.15*0.933^(G63-5)), IF(Segments!$D$4="Chlorine Dioxide", ((I63*G63^0.49)+0.18)/23.85, IF(Segments!$D$4="Ozone", (I63*EXP(0.072*G63)-0.01)/0.98, IF(Segments!$D$4="Chloramines", (I63/(858.5-(24.3*G63))), 0)))))</f>
        <v>5.8320761032030599E-2</v>
      </c>
      <c r="L63" s="24">
        <f>J63/4</f>
        <v>0.27272790333627489</v>
      </c>
      <c r="M63" s="21">
        <f>K63/3</f>
        <v>1.9440253677343533E-2</v>
      </c>
      <c r="O63" s="80"/>
      <c r="P63" s="3" t="str">
        <f>Segments!$C$4</f>
        <v>Rapid Mix</v>
      </c>
      <c r="Q63" s="34">
        <v>1400</v>
      </c>
      <c r="R63" s="33">
        <v>12</v>
      </c>
      <c r="S63" s="33">
        <v>0.3</v>
      </c>
      <c r="T63" s="33">
        <v>6.9</v>
      </c>
      <c r="U63" s="35">
        <v>19</v>
      </c>
      <c r="V63" s="27">
        <f>IF(Segments!$C$4="Not In Use",0, (IF(Segments!$F$4="Rectangular",Segments!$D$7*R63-Segments!$D$8, IF(Segments!$C$4="Pipe",Segments!$D$7,Segments!$D$7*R63))))</f>
        <v>4392.63</v>
      </c>
      <c r="W63" s="30">
        <f>IF(Segments!$C$4="Not In Use", 0, IF(Q63=0,0,V63*S63/Q63))</f>
        <v>0.94127785714285717</v>
      </c>
      <c r="X63" s="21">
        <f>IF(W63=0, 0,IF(Segments!$D$4="Chlorine", (W63*EXP(0.071*U63)-0.42)/2.94, IF(Segments!$D$4="Chlorine Dioxide", (W63*EXP(0.072*U63)+35.15)/21.25, IF(Segments!$D$4="Ozone", (W63*EXP(0.068*U63)-0.01)/0.47, IF(Segments!$D$4="Chloramines", (W63*EXP(0.071*U63)+410.7)/849.5, 0)))))</f>
        <v>1.0909116133450996</v>
      </c>
      <c r="Y63" s="20">
        <f>IF(W63=0, 0,IF(Segments!$D$4="Chlorine", W63/(0.2828*T63^2.69*S63^0.15*0.933^(U63-5)), IF(Segments!$D$4="Chlorine Dioxide", ((W63*U63^0.49)+0.18)/23.85, IF(Segments!$D$4="Ozone", (W63*EXP(0.072*U63)-0.01)/0.98, IF(Segments!$D$4="Chloramines", (W63/(858.5-(24.3*U63))), 0)))))</f>
        <v>5.8320761032030599E-2</v>
      </c>
      <c r="Z63" s="24">
        <f>X63/4</f>
        <v>0.27272790333627489</v>
      </c>
      <c r="AA63" s="21">
        <f>Y63/3</f>
        <v>1.9440253677343533E-2</v>
      </c>
    </row>
    <row r="64" spans="1:41" ht="13.5" thickBot="1" x14ac:dyDescent="0.25">
      <c r="A64" s="80"/>
      <c r="B64" s="3" t="str">
        <f>Segments!$C$15</f>
        <v>Flocculation</v>
      </c>
      <c r="C64" s="33">
        <v>1400</v>
      </c>
      <c r="D64" s="33">
        <v>12</v>
      </c>
      <c r="E64" s="33">
        <v>0</v>
      </c>
      <c r="F64" s="33">
        <v>6.9</v>
      </c>
      <c r="G64" s="35">
        <v>19</v>
      </c>
      <c r="H64" s="28">
        <f>IF(Segments!$C$15="Not In Use",0, (IF(Segments!$F$15="Rectangular",Segments!$D$18*D64-Segments!$D$19, IF(Segments!$C$15="Pipe",Segments!$D$18,Segments!$D$18*D64))))</f>
        <v>0</v>
      </c>
      <c r="I64" s="31">
        <f>IF(Segments!$C$4="Not In Use", 0, IF(C64=0,0,H64*E64/C64))</f>
        <v>0</v>
      </c>
      <c r="J64" s="19">
        <f>IF(I64=0, 0,IF(Segments!$D$15="Chlorine", (I64*EXP(0.071*G64)-0.42)/2.94, IF(Segments!$D$15="Chlorine Dioxide", (I64*EXP(0.072*G64)+35.15)/21.25, IF(Segments!$D$15="Ozone", (I64*EXP(0.068*G64)-0.01)/0.47, IF(Segments!$D$15="Chloramines", (I64*EXP(0.071*G64)+410.7)/849.5, 0)))))</f>
        <v>0</v>
      </c>
      <c r="K64" s="18">
        <f>IF(I64=0, 0,IF(Segments!$D$15="Chlorine", I64/(0.2828*F64^2.69*E64^0.15*0.933^(G64-5)), IF(Segments!$D$15="Chlorine Dioxide", ((I64*G64^0.49)+0.18)/23.85, IF(Segments!$D$15="Ozone", (I64*exp^(0.072*G64)-0.01)/0.98, IF(Segments!$D$15="Chloramines", (I64/(858.5-(24.3*G64))), 0)))))</f>
        <v>0</v>
      </c>
      <c r="L64" s="25">
        <f t="shared" ref="L64:L71" si="34">J64/4</f>
        <v>0</v>
      </c>
      <c r="M64" s="19">
        <f t="shared" ref="M64:M71" si="35">K64/3</f>
        <v>0</v>
      </c>
      <c r="O64" s="80"/>
      <c r="P64" s="3" t="str">
        <f>Segments!$C$15</f>
        <v>Flocculation</v>
      </c>
      <c r="Q64" s="33">
        <v>1400</v>
      </c>
      <c r="R64" s="33">
        <v>12</v>
      </c>
      <c r="S64" s="33">
        <v>0</v>
      </c>
      <c r="T64" s="33">
        <v>6.9</v>
      </c>
      <c r="U64" s="35">
        <v>19</v>
      </c>
      <c r="V64" s="28">
        <f>IF(Segments!$C$15="Not In Use",0, (IF(Segments!$F$15="Rectangular",Segments!$D$18*R64-Segments!$D$19, IF(Segments!$C$15="Pipe",Segments!$D$18,Segments!$D$18*R64))))</f>
        <v>0</v>
      </c>
      <c r="W64" s="31">
        <f>IF(Segments!$C$4="Not In Use", 0, IF(Q64=0,0,V64*S64/Q64))</f>
        <v>0</v>
      </c>
      <c r="X64" s="19">
        <f>IF(W64=0, 0,IF(Segments!$D$15="Chlorine", (W64*EXP(0.071*U64)-0.42)/2.94, IF(Segments!$D$15="Chlorine Dioxide", (W64*EXP(0.072*U64)+35.15)/21.25, IF(Segments!$D$15="Ozone", (W64*EXP(0.068*U64)-0.01)/0.47, IF(Segments!$D$15="Chloramines", (W64*EXP(0.071*U64)+410.7)/849.5, 0)))))</f>
        <v>0</v>
      </c>
      <c r="Y64" s="18">
        <f>IF(W64=0, 0,IF(Segments!$D$15="Chlorine", W64/(0.2828*T64^2.69*S64^0.15*0.933^(U64-5)), IF(Segments!$D$15="Chlorine Dioxide", ((W64*U64^0.49)+0.18)/23.85, IF(Segments!$D$15="Ozone", (W64*exp^(0.072*U64)-0.01)/0.98, IF(Segments!$D$15="Chloramines", (W64/(858.5-(24.3*U64))), 0)))))</f>
        <v>0</v>
      </c>
      <c r="Z64" s="25">
        <f t="shared" ref="Z64:Z71" si="36">X64/4</f>
        <v>0</v>
      </c>
      <c r="AA64" s="19">
        <f t="shared" ref="AA64:AA71" si="37">Y64/3</f>
        <v>0</v>
      </c>
    </row>
    <row r="65" spans="1:27" ht="13.5" thickBot="1" x14ac:dyDescent="0.25">
      <c r="A65" s="80"/>
      <c r="B65" s="3" t="str">
        <f>Segments!$C$26</f>
        <v>Sedimentation</v>
      </c>
      <c r="C65" s="33">
        <v>1400</v>
      </c>
      <c r="D65" s="33">
        <v>12</v>
      </c>
      <c r="E65" s="33">
        <v>0</v>
      </c>
      <c r="F65" s="33">
        <v>6.9</v>
      </c>
      <c r="G65" s="35">
        <v>19</v>
      </c>
      <c r="H65" s="28">
        <f>IF(Segments!$C$26="Not In Use",0, (IF(Segments!$F$26="Rectangular",Segments!$D$29*D65-Segments!$D$30, IF(Segments!$C$26="Pipe",Segments!$D$29,Segments!$D$29*D65))))</f>
        <v>0</v>
      </c>
      <c r="I65" s="31">
        <f>IF(Segments!$C$4="Not In Use", 0, IF(C65=0,0,H65*E65/C65))</f>
        <v>0</v>
      </c>
      <c r="J65" s="19">
        <f>IF(I65=0, 0,IF(Segments!$D$26="Chlorine", (I65*EXP(0.071*G65)-0.42)/2.94, IF(Segments!$D$26="Chlorine Dioxide", (I65*EXP(0.072*G65)+35.15)/21.25, IF(Segments!$D$26="Ozone", (I65*EXP(0.068*G65)-0.01)/0.47, IF(Segments!$D$26="Chloramines", (I65*EXP(0.071*G65)+410.7)/849.5, 0)))))</f>
        <v>0</v>
      </c>
      <c r="K65" s="18">
        <f>IF(I65=0, 0,IF(Segments!$D$26="Chlorine", I65/(0.2828*F65^2.69*E65^0.15*0.933^(G65-5)), IF(Segments!$D$26="Chlorine Dioxide", ((I65*G65^0.49)+0.18)/23.85, IF(Segments!$D$26="Ozone",((I65*EXP(0.072*G65)-0.01)/0.98),IF(Segments!$D$26="Chloramines", (I65/(858.5-(24.3*G65))), 0)))))</f>
        <v>0</v>
      </c>
      <c r="L65" s="25">
        <f t="shared" si="34"/>
        <v>0</v>
      </c>
      <c r="M65" s="19">
        <f t="shared" si="35"/>
        <v>0</v>
      </c>
      <c r="O65" s="80"/>
      <c r="P65" s="3" t="str">
        <f>Segments!$C$26</f>
        <v>Sedimentation</v>
      </c>
      <c r="Q65" s="33">
        <v>1400</v>
      </c>
      <c r="R65" s="33">
        <v>12</v>
      </c>
      <c r="S65" s="33">
        <v>0</v>
      </c>
      <c r="T65" s="33">
        <v>6.9</v>
      </c>
      <c r="U65" s="35">
        <v>19</v>
      </c>
      <c r="V65" s="28">
        <f>IF(Segments!$C$26="Not In Use",0, (IF(Segments!$F$26="Rectangular",Segments!$D$29*R65-Segments!$D$30, IF(Segments!$C$26="Pipe",Segments!$D$29,Segments!$D$29*R65))))</f>
        <v>0</v>
      </c>
      <c r="W65" s="31">
        <f>IF(Segments!$C$4="Not In Use", 0, IF(Q65=0,0,V65*S65/Q65))</f>
        <v>0</v>
      </c>
      <c r="X65" s="19">
        <f>IF(W65=0, 0,IF(Segments!$D$26="Chlorine", (W65*EXP(0.071*U65)-0.42)/2.94, IF(Segments!$D$26="Chlorine Dioxide", (W65*EXP(0.072*U65)+35.15)/21.25, IF(Segments!$D$26="Ozone", (W65*EXP(0.068*U65)-0.01)/0.47, IF(Segments!$D$26="Chloramines", (W65*EXP(0.071*U65)+410.7)/849.5, 0)))))</f>
        <v>0</v>
      </c>
      <c r="Y65" s="18">
        <f>IF(W65=0, 0,IF(Segments!$D$26="Chlorine", W65/(0.2828*T65^2.69*S65^0.15*0.933^(U65-5)), IF(Segments!$D$26="Chlorine Dioxide", ((W65*U65^0.49)+0.18)/23.85, IF(Segments!$D$26="Ozone",((W65*EXP(0.072*U65)-0.01)/0.98),IF(Segments!$D$26="Chloramines", (W65/(858.5-(24.3*U65))), 0)))))</f>
        <v>0</v>
      </c>
      <c r="Z65" s="25">
        <f t="shared" si="36"/>
        <v>0</v>
      </c>
      <c r="AA65" s="19">
        <f t="shared" si="37"/>
        <v>0</v>
      </c>
    </row>
    <row r="66" spans="1:27" ht="13.5" thickBot="1" x14ac:dyDescent="0.25">
      <c r="A66" s="80"/>
      <c r="B66" s="3" t="str">
        <f>Segments!$C$39</f>
        <v>Filtration</v>
      </c>
      <c r="C66" s="33">
        <v>1400</v>
      </c>
      <c r="D66" s="33">
        <v>5</v>
      </c>
      <c r="E66" s="33">
        <v>0.5</v>
      </c>
      <c r="F66" s="33">
        <v>6.9</v>
      </c>
      <c r="G66" s="35">
        <v>19</v>
      </c>
      <c r="H66" s="28">
        <f>IF(Segments!$C$39="Not In Use",0, (IF(Segments!$F$39="Rectangular",Segments!$D$42*D66-Segments!$D$43, IF(Segments!$C$39="Pipe",Segments!$D$42,Segments!$D$42*D66))))</f>
        <v>13669.7</v>
      </c>
      <c r="I66" s="31">
        <f>IF(Segments!$C$4="Not In Use", 0, IF(C66=0,0,H66*E66/C66))</f>
        <v>4.8820357142857143</v>
      </c>
      <c r="J66" s="19">
        <f>IF(I66=0, 0,IF(Segments!$D$39="Chlorine", (I66*EXP(0.071*G66)-0.42)/2.94, IF(Segments!$D$39="Chlorine Dioxide", (I66*EXP(0.072*G66)+35.15)/21.25, IF(Segments!$D$39="Ozone", (I66*EXP(0.068*G66)-0.01)/0.47, IF(Segments!$D$39="Chloramines", (I66*EXP(0.071*G66)+410.7)/849.5, 0)))))</f>
        <v>6.2562131053608159</v>
      </c>
      <c r="K66" s="18">
        <f>IF(I66=0, 0,IF(Segments!$D$39="Chlorine", I66/(0.2828*F66^2.69*E66^0.15*0.933^(G66-5)), IF(Segments!$D$39="Chlorine Dioxide", ((I66*G66^0.49)+0.18)/23.85, IF(Segments!$D$39="Ozone", (I66*EXP(0.072*G66)-0.01)/0.98, IF(Segments!$D$39="Chloramines", (I66/(858.5-(24.3*G66))), 0)))))</f>
        <v>0.28017474145721827</v>
      </c>
      <c r="L66" s="25">
        <f t="shared" si="34"/>
        <v>1.564053276340204</v>
      </c>
      <c r="M66" s="19">
        <f t="shared" si="35"/>
        <v>9.3391580485739423E-2</v>
      </c>
      <c r="O66" s="80"/>
      <c r="P66" s="3" t="str">
        <f>Segments!$C$39</f>
        <v>Filtration</v>
      </c>
      <c r="Q66" s="33">
        <v>1400</v>
      </c>
      <c r="R66" s="33">
        <v>5</v>
      </c>
      <c r="S66" s="33">
        <v>0.5</v>
      </c>
      <c r="T66" s="33">
        <v>6.9</v>
      </c>
      <c r="U66" s="35">
        <v>19</v>
      </c>
      <c r="V66" s="28">
        <f>IF(Segments!$C$39="Not In Use",0, (IF(Segments!$F$39="Rectangular",Segments!$D$42*R66-Segments!$D$43, IF(Segments!$C$39="Pipe",Segments!$D$42,Segments!$D$42*R66))))</f>
        <v>13669.7</v>
      </c>
      <c r="W66" s="31">
        <f>IF(Segments!$C$4="Not In Use", 0, IF(Q66=0,0,V66*S66/Q66))</f>
        <v>4.8820357142857143</v>
      </c>
      <c r="X66" s="19">
        <f>IF(W66=0, 0,IF(Segments!$D$39="Chlorine", (W66*EXP(0.071*U66)-0.42)/2.94, IF(Segments!$D$39="Chlorine Dioxide", (W66*EXP(0.072*U66)+35.15)/21.25, IF(Segments!$D$39="Ozone", (W66*EXP(0.068*U66)-0.01)/0.47, IF(Segments!$D$39="Chloramines", (W66*EXP(0.071*U66)+410.7)/849.5, 0)))))</f>
        <v>6.2562131053608159</v>
      </c>
      <c r="Y66" s="18">
        <f>IF(W66=0, 0,IF(Segments!$D$39="Chlorine", W66/(0.2828*T66^2.69*S66^0.15*0.933^(U66-5)), IF(Segments!$D$39="Chlorine Dioxide", ((W66*U66^0.49)+0.18)/23.85, IF(Segments!$D$39="Ozone", (W66*EXP(0.072*U66)-0.01)/0.98, IF(Segments!$D$39="Chloramines", (W66/(858.5-(24.3*U66))), 0)))))</f>
        <v>0.28017474145721827</v>
      </c>
      <c r="Z66" s="25">
        <f t="shared" si="36"/>
        <v>1.564053276340204</v>
      </c>
      <c r="AA66" s="19">
        <f t="shared" si="37"/>
        <v>9.3391580485739423E-2</v>
      </c>
    </row>
    <row r="67" spans="1:27" ht="13.5" thickBot="1" x14ac:dyDescent="0.25">
      <c r="A67" s="80"/>
      <c r="B67" s="3" t="str">
        <f>Segments!$C$50</f>
        <v>Clearwell</v>
      </c>
      <c r="C67" s="33">
        <v>1400</v>
      </c>
      <c r="D67" s="33">
        <v>10</v>
      </c>
      <c r="E67" s="33">
        <v>1.5</v>
      </c>
      <c r="F67" s="33">
        <v>7</v>
      </c>
      <c r="G67" s="35">
        <v>19</v>
      </c>
      <c r="H67" s="28">
        <f>IF(Segments!$C$50="Not In Use",0, (IF(Segments!$F$50="Rectangular",Segments!$D$53*D67-Segments!$D$54, IF(Segments!$C$50="Pipe",Segments!$D$53,Segments!$D$53*D67))))</f>
        <v>99184.800000000017</v>
      </c>
      <c r="I67" s="31">
        <f>IF(Segments!$C$4="Not In Use", 0, IF(C67=0,0,H67*E67/C67))</f>
        <v>106.26942857142858</v>
      </c>
      <c r="J67" s="19">
        <f>IF(I67=0, 0,IF(Segments!$D$50="Chlorine", (I67*EXP(0.071*G67)-0.42)/2.94, IF(Segments!$D$50="Chlorine Dioxide", (I67*EXP(0.072*G67)+35.15)/21.25, IF(Segments!$D$50="Ozone", (I67*EXP(0.068*G67)-0.01)/0.47, IF(Segments!$D$50="Chloramines", (I67*EXP(0.071*G67)+410.7)/849.5, 0)))))</f>
        <v>139.14853244625934</v>
      </c>
      <c r="K67" s="18">
        <f>IF(I67=0, 0,IF(Segments!$D$50="Chlorine", I67/(0.2828*F67^2.69*E67^0.15*0.933^(G67-5)), IF(Segments!$D$50="Chlorine Dioxide", ((I67*G67^0.49)+0.18)/23.85, IF(Segments!$D$50="Ozone", (I67*EXP(0.072*G67)-0.01)/0.98, IF(Segments!$D$50="Chloramines", (I67/(858.5-(24.3*G67))), 0)))))</f>
        <v>4.9757495366863838</v>
      </c>
      <c r="L67" s="25">
        <f t="shared" si="34"/>
        <v>34.787133111564835</v>
      </c>
      <c r="M67" s="19">
        <f t="shared" si="35"/>
        <v>1.6585831788954613</v>
      </c>
      <c r="O67" s="80"/>
      <c r="P67" s="3" t="str">
        <f>Segments!$C$50</f>
        <v>Clearwell</v>
      </c>
      <c r="Q67" s="33">
        <v>1400</v>
      </c>
      <c r="R67" s="33">
        <v>10</v>
      </c>
      <c r="S67" s="33">
        <v>1.5</v>
      </c>
      <c r="T67" s="33">
        <v>7</v>
      </c>
      <c r="U67" s="35">
        <v>19</v>
      </c>
      <c r="V67" s="28">
        <f>IF(Segments!$C$50="Not In Use",0, (IF(Segments!$F$50="Rectangular",Segments!$D$53*R67-Segments!$D$54, IF(Segments!$C$50="Pipe",Segments!$D$53,Segments!$D$53*R67))))</f>
        <v>99184.800000000017</v>
      </c>
      <c r="W67" s="31">
        <f>IF(Segments!$C$4="Not In Use", 0, IF(Q67=0,0,V67*S67/Q67))</f>
        <v>106.26942857142858</v>
      </c>
      <c r="X67" s="19">
        <f>IF(W67=0, 0,IF(Segments!$D$50="Chlorine", (W67*EXP(0.071*U67)-0.42)/2.94, IF(Segments!$D$50="Chlorine Dioxide", (W67*EXP(0.072*U67)+35.15)/21.25, IF(Segments!$D$50="Ozone", (W67*EXP(0.068*U67)-0.01)/0.47, IF(Segments!$D$50="Chloramines", (W67*EXP(0.071*U67)+410.7)/849.5, 0)))))</f>
        <v>139.14853244625934</v>
      </c>
      <c r="Y67" s="18">
        <f>IF(W67=0, 0,IF(Segments!$D$50="Chlorine", W67/(0.2828*T67^2.69*S67^0.15*0.933^(U67-5)), IF(Segments!$D$50="Chlorine Dioxide", ((W67*U67^0.49)+0.18)/23.85, IF(Segments!$D$50="Ozone", (W67*EXP(0.072*U67)-0.01)/0.98, IF(Segments!$D$50="Chloramines", (W67/(858.5-(24.3*U67))), 0)))))</f>
        <v>4.9757495366863838</v>
      </c>
      <c r="Z67" s="25">
        <f t="shared" si="36"/>
        <v>34.787133111564835</v>
      </c>
      <c r="AA67" s="19">
        <f t="shared" si="37"/>
        <v>1.6585831788954613</v>
      </c>
    </row>
    <row r="68" spans="1:27" ht="13.5" thickBot="1" x14ac:dyDescent="0.25">
      <c r="A68" s="80"/>
      <c r="B68" s="3" t="str">
        <f>Segments!$C$61</f>
        <v>Not In Use</v>
      </c>
      <c r="C68" s="33"/>
      <c r="D68" s="33"/>
      <c r="E68" s="33"/>
      <c r="F68" s="33"/>
      <c r="G68" s="35"/>
      <c r="H68" s="28">
        <f>IF(Segments!$C$61="Not In Use",0, (IF(Segments!$F$61="Rectangular",Segments!$D$64*D68-Segments!$D$65, IF(Segments!$C$61="Pipe",Segments!$D$64,Segments!$D$64*D68))))</f>
        <v>0</v>
      </c>
      <c r="I68" s="31">
        <f>IF(Segments!$C$4="Not In Use", 0, IF(C68=0,0,H68*E68/C68))</f>
        <v>0</v>
      </c>
      <c r="J68" s="19">
        <f>IF(I68=0, 0,IF(Segments!$D$61="Chlorine", (I68*EXP(0.071*G68)-0.42)/2.94, IF(Segments!$D$61="Chlorine Dioxide", (I68*EXP(0.072*G68)+35.15)/21.25, IF(Segments!$D$61="Ozone", (I68*EXP(0.068*G68)-0.01)/0.47, IF(Segments!$D$61="Chloramines", (I68*EXP(0.071*G68)+410.7)/849.5, 0)))))</f>
        <v>0</v>
      </c>
      <c r="K68" s="18">
        <f>IF(I68=0, 0,IF(Segments!$D$61="Chlorine", I68/(0.2828*F68^2.69*E68^0.15*0.933^(G68-5)), IF(Segments!$D$61="Chlorine Dioxide", ((I68*G68^0.49)+0.18)/23.85, IF(Segments!$D$61="Ozone", (I68*EXP(0.072*G68)-0.01)/0.98, IF(Segments!$D$61="Chloramines", (I68/(858.5-(24.3*G68))), 0)))))</f>
        <v>0</v>
      </c>
      <c r="L68" s="25">
        <f t="shared" si="34"/>
        <v>0</v>
      </c>
      <c r="M68" s="19">
        <f t="shared" si="35"/>
        <v>0</v>
      </c>
      <c r="O68" s="80"/>
      <c r="P68" s="3" t="str">
        <f>Segments!$C$61</f>
        <v>Not In Use</v>
      </c>
      <c r="Q68" s="33"/>
      <c r="R68" s="33"/>
      <c r="S68" s="33"/>
      <c r="T68" s="33"/>
      <c r="U68" s="35"/>
      <c r="V68" s="28">
        <f>IF(Segments!$C$61="Not In Use",0, (IF(Segments!$F$61="Rectangular",Segments!$D$64*R68-Segments!$D$65, IF(Segments!$C$61="Pipe",Segments!$D$64,Segments!$D$64*R68))))</f>
        <v>0</v>
      </c>
      <c r="W68" s="31">
        <f>IF(Segments!$C$4="Not In Use", 0, IF(Q68=0,0,V68*S68/Q68))</f>
        <v>0</v>
      </c>
      <c r="X68" s="19">
        <f>IF(W68=0, 0,IF(Segments!$D$61="Chlorine", (W68*EXP(0.071*U68)-0.42)/2.94, IF(Segments!$D$61="Chlorine Dioxide", (W68*EXP(0.072*U68)+35.15)/21.25, IF(Segments!$D$61="Ozone", (W68*EXP(0.068*U68)-0.01)/0.47, IF(Segments!$D$61="Chloramines", (W68*EXP(0.071*U68)+410.7)/849.5, 0)))))</f>
        <v>0</v>
      </c>
      <c r="Y68" s="18">
        <f>IF(W68=0, 0,IF(Segments!$D$61="Chlorine", W68/(0.2828*T68^2.69*S68^0.15*0.933^(U68-5)), IF(Segments!$D$61="Chlorine Dioxide", ((W68*U68^0.49)+0.18)/23.85, IF(Segments!$D$61="Ozone", (W68*EXP(0.072*U68)-0.01)/0.98, IF(Segments!$D$61="Chloramines", (W68/(858.5-(24.3*U68))), 0)))))</f>
        <v>0</v>
      </c>
      <c r="Z68" s="25">
        <f t="shared" si="36"/>
        <v>0</v>
      </c>
      <c r="AA68" s="19">
        <f t="shared" si="37"/>
        <v>0</v>
      </c>
    </row>
    <row r="69" spans="1:27" ht="13.5" thickBot="1" x14ac:dyDescent="0.25">
      <c r="A69" s="80"/>
      <c r="B69" s="3" t="str">
        <f>Segments!$C$74</f>
        <v>Not In Use</v>
      </c>
      <c r="C69" s="33"/>
      <c r="D69" s="33"/>
      <c r="E69" s="33"/>
      <c r="F69" s="33"/>
      <c r="G69" s="35"/>
      <c r="H69" s="28">
        <f>IF(Segments!$C$74="Not In Use",0, (IF(Segments!$F$74="Rectangular",Segments!$D$77*D69-Segments!$D$78, IF(Segments!$C$74="Pipe",Segments!$D$77,Segments!$D$77*D69))))</f>
        <v>0</v>
      </c>
      <c r="I69" s="31">
        <f>IF(Segments!$C$4="Not In Use", 0, IF(C69=0,0,H69*E69/C69))</f>
        <v>0</v>
      </c>
      <c r="J69" s="19">
        <f>IF(I69=0, 0,IF(Segments!$D$74="Chlorine", (I69*EXP(0.071*G69)-0.42)/2.94, IF(Segments!$D$74="Chlorine Dioxide", (I69*EXP(0.072*G69)+35.15)/21.25, IF(Segments!$D$74="Ozone", (I69*EXP(0.068*G69)-0.01)/0.47, IF(Segments!$D$74="Chloramines", (I69*EXP(0.071*G69)+410.7)/849.5, 0)))))</f>
        <v>0</v>
      </c>
      <c r="K69" s="18">
        <f>IF(I69=0, 0,IF(Segments!$D$74="Chlorine", I69/(0.2828*F69^2.69*E69^0.15*0.933^(G69-5)), IF(Segments!$D$74="Chlorine Dioxide", ((I69*G69^0.49)+0.18)/23.85, IF(Segments!$D$74="Ozone", (I69*EXP(0.072*G69)-0.01)/0.98, IF(Segments!$D$74="Chloramines", (I69/(858.5-(24.3*G69))), 0)))))</f>
        <v>0</v>
      </c>
      <c r="L69" s="25">
        <f t="shared" si="34"/>
        <v>0</v>
      </c>
      <c r="M69" s="19">
        <f t="shared" si="35"/>
        <v>0</v>
      </c>
      <c r="O69" s="80"/>
      <c r="P69" s="3" t="str">
        <f>Segments!$C$74</f>
        <v>Not In Use</v>
      </c>
      <c r="Q69" s="33"/>
      <c r="R69" s="33"/>
      <c r="S69" s="33"/>
      <c r="T69" s="33"/>
      <c r="U69" s="35"/>
      <c r="V69" s="28">
        <f>IF(Segments!$C$74="Not In Use",0, (IF(Segments!$F$74="Rectangular",Segments!$D$77*R69-Segments!$D$78, IF(Segments!$C$74="Pipe",Segments!$D$77,Segments!$D$77*R69))))</f>
        <v>0</v>
      </c>
      <c r="W69" s="31">
        <f>IF(Segments!$C$4="Not In Use", 0, IF(Q69=0,0,V69*S69/Q69))</f>
        <v>0</v>
      </c>
      <c r="X69" s="19">
        <f>IF(W69=0, 0,IF(Segments!$D$74="Chlorine", (W69*EXP(0.071*U69)-0.42)/2.94, IF(Segments!$D$74="Chlorine Dioxide", (W69*EXP(0.072*U69)+35.15)/21.25, IF(Segments!$D$74="Ozone", (W69*EXP(0.068*U69)-0.01)/0.47, IF(Segments!$D$74="Chloramines", (W69*EXP(0.071*U69)+410.7)/849.5, 0)))))</f>
        <v>0</v>
      </c>
      <c r="Y69" s="18">
        <f>IF(W69=0, 0,IF(Segments!$D$74="Chlorine", W69/(0.2828*T69^2.69*S69^0.15*0.933^(U69-5)), IF(Segments!$D$74="Chlorine Dioxide", ((W69*U69^0.49)+0.18)/23.85, IF(Segments!$D$74="Ozone", (W69*EXP(0.072*U69)-0.01)/0.98, IF(Segments!$D$74="Chloramines", (W69/(858.5-(24.3*U69))), 0)))))</f>
        <v>0</v>
      </c>
      <c r="Z69" s="25">
        <f t="shared" si="36"/>
        <v>0</v>
      </c>
      <c r="AA69" s="19">
        <f t="shared" si="37"/>
        <v>0</v>
      </c>
    </row>
    <row r="70" spans="1:27" ht="13.5" thickBot="1" x14ac:dyDescent="0.25">
      <c r="A70" s="80"/>
      <c r="B70" s="3" t="str">
        <f>Segments!$C$85</f>
        <v>Not In Use</v>
      </c>
      <c r="C70" s="33"/>
      <c r="D70" s="33"/>
      <c r="E70" s="33"/>
      <c r="F70" s="33"/>
      <c r="G70" s="35"/>
      <c r="H70" s="28">
        <f>IF(Segments!$C$85="Not In Use",0, (IF(Segments!$F$85="Rectangular",Segments!$D$88*D70-Segments!$D$89, IF(Segments!$C$85="Pipe",Segments!$D$88,Segments!$D$88*D70))))</f>
        <v>0</v>
      </c>
      <c r="I70" s="31">
        <f>IF(Segments!$C$4="Not In Use", 0, IF(C70=0,0,H70*E70/C70))</f>
        <v>0</v>
      </c>
      <c r="J70" s="19">
        <f>IF(I70=0, 0,IF(Segments!$D$85="Chlorine", (I70*EXP(0.071*G70)-0.42)/2.94, IF(Segments!$D$85="Chlorine Dioxide", (I70*EXP(0.072*G70)+35.15)/21.25, IF(Segments!$D$85="Ozone", (I70*EXP(0.068*G70)-0.01)/0.47, IF(Segments!$D$85="Chloramines", (I70*EXP(0.071*G70)+410.7)/849.5, 0)))))</f>
        <v>0</v>
      </c>
      <c r="K70" s="18">
        <f>IF(I70=0, 0,IF(Segments!$D$85="Chlorine", I70/(0.2828*F70^2.69*E70^0.15*0.933^(G70-5)), IF(Segments!$D$85="Chlorine Dioxide", ((I70*G70^0.49)+0.18)/23.85, IF(Segments!$D$85="Ozone", (I70*EXP(0.072*G70)-0.01)/0.98, IF(Segments!$D$85="Chloramines", (I70/(858.5-(24.3*G70))), 0)))))</f>
        <v>0</v>
      </c>
      <c r="L70" s="25">
        <f t="shared" si="34"/>
        <v>0</v>
      </c>
      <c r="M70" s="19">
        <f t="shared" si="35"/>
        <v>0</v>
      </c>
      <c r="O70" s="80"/>
      <c r="P70" s="3" t="str">
        <f>Segments!$C$85</f>
        <v>Not In Use</v>
      </c>
      <c r="Q70" s="33"/>
      <c r="R70" s="33"/>
      <c r="S70" s="33"/>
      <c r="T70" s="33"/>
      <c r="U70" s="35"/>
      <c r="V70" s="28">
        <f>IF(Segments!$C$85="Not In Use",0, (IF(Segments!$F$85="Rectangular",Segments!$D$88*R70-Segments!$D$89, IF(Segments!$C$85="Pipe",Segments!$D$88,Segments!$D$88*R70))))</f>
        <v>0</v>
      </c>
      <c r="W70" s="31">
        <f>IF(Segments!$C$4="Not In Use", 0, IF(Q70=0,0,V70*S70/Q70))</f>
        <v>0</v>
      </c>
      <c r="X70" s="19">
        <f>IF(W70=0, 0,IF(Segments!$D$85="Chlorine", (W70*EXP(0.071*U70)-0.42)/2.94, IF(Segments!$D$85="Chlorine Dioxide", (W70*EXP(0.072*U70)+35.15)/21.25, IF(Segments!$D$85="Ozone", (W70*EXP(0.068*U70)-0.01)/0.47, IF(Segments!$D$85="Chloramines", (W70*EXP(0.071*U70)+410.7)/849.5, 0)))))</f>
        <v>0</v>
      </c>
      <c r="Y70" s="18">
        <f>IF(W70=0, 0,IF(Segments!$D$85="Chlorine", W70/(0.2828*T70^2.69*S70^0.15*0.933^(U70-5)), IF(Segments!$D$85="Chlorine Dioxide", ((W70*U70^0.49)+0.18)/23.85, IF(Segments!$D$85="Ozone", (W70*EXP(0.072*U70)-0.01)/0.98, IF(Segments!$D$85="Chloramines", (W70/(858.5-(24.3*U70))), 0)))))</f>
        <v>0</v>
      </c>
      <c r="Z70" s="25">
        <f t="shared" si="36"/>
        <v>0</v>
      </c>
      <c r="AA70" s="19">
        <f t="shared" si="37"/>
        <v>0</v>
      </c>
    </row>
    <row r="71" spans="1:27" ht="13.5" thickBot="1" x14ac:dyDescent="0.25">
      <c r="A71" s="80"/>
      <c r="B71" s="3" t="str">
        <f>Segments!$C$96</f>
        <v>Not In Use</v>
      </c>
      <c r="C71" s="36"/>
      <c r="D71" s="36"/>
      <c r="E71" s="36"/>
      <c r="F71" s="36"/>
      <c r="G71" s="34"/>
      <c r="H71" s="29">
        <f>IF(Segments!$C$96="Not In Use",0, (IF(Segments!$F$96="Rectangular",Segments!$D$99*D71-Segments!$D$100, IF(Segments!$C$96="Pipe",Segments!$D$99,Segments!$D$99*D71))))</f>
        <v>0</v>
      </c>
      <c r="I71" s="32">
        <f>IF(Segments!$C$4="Not In Use", 0, IF(C71=0,0,H71*E71/C71))</f>
        <v>0</v>
      </c>
      <c r="J71" s="19">
        <f>IF(I71=0, 0,IF(Segments!$D$96="Chlorine", (I71*EXP(0.071*G71)-0.42)/2.94, IF(Segments!$D$96="Chlorine Dioxide", (I71*EXP(0.072*G71)+35.15)/21.25, IF(Segments!$D$96="Ozone", (I71*EXP(0.068*G71)-0.01)/0.47, IF(Segments!$D$96="Chloramines", (I71*EXP(0.071*G71)+410.7)/849.5, 0)))))</f>
        <v>0</v>
      </c>
      <c r="K71" s="18">
        <f>IF(I71=0, 0,IF(Segments!$D$96="Chlorine", I71/(0.2828*F71^2.69*E71^0.15*0.933^(G71-5)), IF(Segments!$D$96="Chlorine Dioxide", ((I71*G71^0.49)+0.18)/23.85, IF(Segments!$D$96="Ozone", (I71*EXP(0.072*G71)-0.01)/0.98, IF(Segments!$D$96="Chloramines", (I71/(858.5-(24.3*G71))), 0)))))</f>
        <v>0</v>
      </c>
      <c r="L71" s="25">
        <f t="shared" si="34"/>
        <v>0</v>
      </c>
      <c r="M71" s="19">
        <f t="shared" si="35"/>
        <v>0</v>
      </c>
      <c r="O71" s="80"/>
      <c r="P71" s="3" t="str">
        <f>Segments!$C$96</f>
        <v>Not In Use</v>
      </c>
      <c r="Q71" s="36"/>
      <c r="R71" s="36"/>
      <c r="S71" s="36"/>
      <c r="T71" s="36"/>
      <c r="U71" s="34"/>
      <c r="V71" s="29">
        <f>IF(Segments!$C$96="Not In Use",0, (IF(Segments!$F$96="Rectangular",Segments!$D$99*R71-Segments!$D$100, IF(Segments!$C$96="Pipe",Segments!$D$99,Segments!$D$99*R71))))</f>
        <v>0</v>
      </c>
      <c r="W71" s="32">
        <f>IF(Segments!$C$4="Not In Use", 0, IF(Q71=0,0,V71*S71/Q71))</f>
        <v>0</v>
      </c>
      <c r="X71" s="19">
        <f>IF(W71=0, 0,IF(Segments!$D$96="Chlorine", (W71*EXP(0.071*U71)-0.42)/2.94, IF(Segments!$D$96="Chlorine Dioxide", (W71*EXP(0.072*U71)+35.15)/21.25, IF(Segments!$D$96="Ozone", (W71*EXP(0.068*U71)-0.01)/0.47, IF(Segments!$D$96="Chloramines", (W71*EXP(0.071*U71)+410.7)/849.5, 0)))))</f>
        <v>0</v>
      </c>
      <c r="Y71" s="18">
        <f>IF(W71=0, 0,IF(Segments!$D$96="Chlorine", W71/(0.2828*T71^2.69*S71^0.15*0.933^(U71-5)), IF(Segments!$D$96="Chlorine Dioxide", ((W71*U71^0.49)+0.18)/23.85, IF(Segments!$D$96="Ozone", (W71*EXP(0.072*U71)-0.01)/0.98, IF(Segments!$D$96="Chloramines", (W71/(858.5-(24.3*U71))), 0)))))</f>
        <v>0</v>
      </c>
      <c r="Z71" s="25">
        <f t="shared" si="36"/>
        <v>0</v>
      </c>
      <c r="AA71" s="19">
        <f t="shared" si="37"/>
        <v>0</v>
      </c>
    </row>
    <row r="72" spans="1:27" ht="13.5" thickBot="1" x14ac:dyDescent="0.25">
      <c r="A72" s="81"/>
      <c r="B72" s="22" t="s">
        <v>42</v>
      </c>
      <c r="C72" s="23"/>
      <c r="D72" s="23"/>
      <c r="E72" s="23"/>
      <c r="F72" s="23"/>
      <c r="G72" s="23"/>
      <c r="H72" s="26"/>
      <c r="I72" s="50">
        <f>SUM(I63:I71)</f>
        <v>112.09274214285715</v>
      </c>
      <c r="J72" s="50">
        <f>SUM(J63:J71)</f>
        <v>146.49565716496525</v>
      </c>
      <c r="K72" s="50">
        <f>SUM(K63:K71)</f>
        <v>5.3142450391756331</v>
      </c>
      <c r="L72" s="50">
        <f>SUM(L63:L71)</f>
        <v>36.623914291241313</v>
      </c>
      <c r="M72" s="50">
        <f>SUM(M63:M71)</f>
        <v>1.7714150130585442</v>
      </c>
      <c r="O72" s="81"/>
      <c r="P72" s="22" t="s">
        <v>42</v>
      </c>
      <c r="Q72" s="23"/>
      <c r="R72" s="23"/>
      <c r="S72" s="23"/>
      <c r="T72" s="23"/>
      <c r="U72" s="23"/>
      <c r="V72" s="26"/>
      <c r="W72" s="50">
        <f>SUM(W63:W71)</f>
        <v>112.09274214285715</v>
      </c>
      <c r="X72" s="50">
        <f>SUM(X63:X71)</f>
        <v>146.49565716496525</v>
      </c>
      <c r="Y72" s="50">
        <f>SUM(Y63:Y71)</f>
        <v>5.3142450391756331</v>
      </c>
      <c r="Z72" s="50">
        <f>SUM(Z63:Z71)</f>
        <v>36.623914291241313</v>
      </c>
      <c r="AA72" s="50">
        <f>SUM(AA63:AA71)</f>
        <v>1.7714150130585442</v>
      </c>
    </row>
    <row r="73" spans="1:27" ht="30.75" customHeight="1" thickBot="1" x14ac:dyDescent="0.25">
      <c r="A73" s="15"/>
      <c r="B73" s="15"/>
      <c r="C73" s="15"/>
      <c r="D73" s="15"/>
      <c r="E73" s="15"/>
      <c r="F73" s="15"/>
      <c r="G73" s="15"/>
      <c r="H73" s="15"/>
      <c r="I73" s="15"/>
      <c r="J73" s="15"/>
      <c r="K73" s="15"/>
      <c r="L73" s="15"/>
      <c r="M73" s="15"/>
      <c r="O73" s="15"/>
      <c r="P73" s="15"/>
      <c r="Q73" s="15"/>
      <c r="R73" s="15"/>
      <c r="S73" s="15"/>
      <c r="T73" s="15"/>
      <c r="U73" s="15"/>
      <c r="V73" s="15"/>
      <c r="W73" s="15"/>
      <c r="X73" s="15"/>
      <c r="Y73" s="15"/>
      <c r="Z73" s="15"/>
      <c r="AA73" s="15"/>
    </row>
    <row r="74" spans="1:27" ht="51.75" customHeight="1" thickBot="1" x14ac:dyDescent="0.25">
      <c r="A74" s="79" t="s">
        <v>55</v>
      </c>
      <c r="B74" s="6" t="s">
        <v>23</v>
      </c>
      <c r="C74" s="16" t="s">
        <v>83</v>
      </c>
      <c r="D74" s="6" t="s">
        <v>38</v>
      </c>
      <c r="E74" s="16" t="s">
        <v>45</v>
      </c>
      <c r="F74" s="16" t="s">
        <v>6</v>
      </c>
      <c r="G74" s="16" t="s">
        <v>37</v>
      </c>
      <c r="H74" s="16" t="s">
        <v>35</v>
      </c>
      <c r="I74" s="16" t="s">
        <v>46</v>
      </c>
      <c r="J74" s="16" t="s">
        <v>39</v>
      </c>
      <c r="K74" s="16" t="s">
        <v>40</v>
      </c>
      <c r="L74" s="16" t="s">
        <v>41</v>
      </c>
      <c r="M74" s="17" t="s">
        <v>36</v>
      </c>
      <c r="O74" s="79" t="s">
        <v>62</v>
      </c>
      <c r="P74" s="6" t="s">
        <v>23</v>
      </c>
      <c r="Q74" s="16" t="s">
        <v>83</v>
      </c>
      <c r="R74" s="6" t="s">
        <v>38</v>
      </c>
      <c r="S74" s="16" t="s">
        <v>45</v>
      </c>
      <c r="T74" s="16" t="s">
        <v>6</v>
      </c>
      <c r="U74" s="16" t="s">
        <v>37</v>
      </c>
      <c r="V74" s="16" t="s">
        <v>35</v>
      </c>
      <c r="W74" s="16" t="s">
        <v>46</v>
      </c>
      <c r="X74" s="16" t="s">
        <v>39</v>
      </c>
      <c r="Y74" s="16" t="s">
        <v>40</v>
      </c>
      <c r="Z74" s="16" t="s">
        <v>41</v>
      </c>
      <c r="AA74" s="17" t="s">
        <v>36</v>
      </c>
    </row>
    <row r="75" spans="1:27" ht="13.5" thickBot="1" x14ac:dyDescent="0.25">
      <c r="A75" s="80"/>
      <c r="B75" s="3" t="str">
        <f>Segments!$C$4</f>
        <v>Rapid Mix</v>
      </c>
      <c r="C75" s="34">
        <v>1400</v>
      </c>
      <c r="D75" s="33">
        <v>12</v>
      </c>
      <c r="E75" s="33">
        <v>0.3</v>
      </c>
      <c r="F75" s="33">
        <v>6.9</v>
      </c>
      <c r="G75" s="35">
        <v>19</v>
      </c>
      <c r="H75" s="27">
        <f>IF(Segments!$C$4="Not In Use",0, (IF(Segments!$F$4="Rectangular",Segments!$D$7*D75-Segments!$D$8, IF(Segments!$C$4="Pipe",Segments!$D$7,Segments!$D$7*D75))))</f>
        <v>4392.63</v>
      </c>
      <c r="I75" s="30">
        <f>IF(Segments!$C$4="Not In Use", 0, IF(C75=0,0,H75*E75/C75))</f>
        <v>0.94127785714285717</v>
      </c>
      <c r="J75" s="21">
        <f>IF(I75=0, 0,IF(Segments!$D$4="Chlorine", (I75*EXP(0.071*G75)-0.42)/2.94, IF(Segments!$D$4="Chlorine Dioxide", (I75*EXP(0.072*G75)+35.15)/21.25, IF(Segments!$D$4="Ozone", (I75*EXP(0.068*G75)-0.01)/0.47, IF(Segments!$D$4="Chloramines", (I75*EXP(0.071*G75)+410.7)/849.5, 0)))))</f>
        <v>1.0909116133450996</v>
      </c>
      <c r="K75" s="20">
        <f>IF(I75=0, 0,IF(Segments!$D$4="Chlorine", I75/(0.2828*F75^2.69*E75^0.15*0.933^(G75-5)), IF(Segments!$D$4="Chlorine Dioxide", ((I75*G75^0.49)+0.18)/23.85, IF(Segments!$D$4="Ozone", (I75*EXP(0.072*G75)-0.01)/0.98, IF(Segments!$D$4="Chloramines", (I75/(858.5-(24.3*G75))), 0)))))</f>
        <v>5.8320761032030599E-2</v>
      </c>
      <c r="L75" s="24">
        <f>J75/4</f>
        <v>0.27272790333627489</v>
      </c>
      <c r="M75" s="21">
        <f>K75/3</f>
        <v>1.9440253677343533E-2</v>
      </c>
      <c r="O75" s="80"/>
      <c r="P75" s="3" t="str">
        <f>Segments!$C$4</f>
        <v>Rapid Mix</v>
      </c>
      <c r="Q75" s="34">
        <v>1400</v>
      </c>
      <c r="R75" s="33">
        <v>9</v>
      </c>
      <c r="S75" s="33">
        <v>1.4</v>
      </c>
      <c r="T75" s="33">
        <v>7.4</v>
      </c>
      <c r="U75" s="35">
        <v>14</v>
      </c>
      <c r="V75" s="27">
        <f>IF(Segments!$C$4="Not In Use",0, (IF(Segments!$F$4="Rectangular",Segments!$D$7*R75-Segments!$D$8, IF(Segments!$C$4="Pipe",Segments!$D$7,Segments!$D$7*R75))))</f>
        <v>3294.4724999999999</v>
      </c>
      <c r="W75" s="30">
        <f>IF(Segments!$C$4="Not In Use", 0, IF(Q75=0,0,V75*S75/Q75))</f>
        <v>3.2944724999999999</v>
      </c>
      <c r="X75" s="21">
        <f>IF(W75=0, 0,IF(Segments!$D$4="Chlorine", (W75*EXP(0.071*U75)-0.42)/2.94, IF(Segments!$D$4="Chlorine Dioxide", (W75*EXP(0.072*U75)+35.15)/21.25, IF(Segments!$D$4="Ozone", (W75*EXP(0.068*U75)-0.01)/0.47, IF(Segments!$D$4="Chloramines", (W75*EXP(0.071*U75)+410.7)/849.5, 0)))))</f>
        <v>2.8849434613260505</v>
      </c>
      <c r="Y75" s="20">
        <f>IF(W75=0, 0,IF(Segments!$D$4="Chlorine", W75/(0.2828*T75^2.69*S75^0.15*0.933^(U75-5)), IF(Segments!$D$4="Chlorine Dioxide", ((W75*U75^0.49)+0.18)/23.85, IF(Segments!$D$4="Ozone", (W75*EXP(0.072*U75)-0.01)/0.98, IF(Segments!$D$4="Chloramines", (W75/(858.5-(24.3*U75))), 0)))))</f>
        <v>9.4889718101434636E-2</v>
      </c>
      <c r="Z75" s="24">
        <f>X75/4</f>
        <v>0.72123586533151263</v>
      </c>
      <c r="AA75" s="21">
        <f>Y75/3</f>
        <v>3.1629906033811543E-2</v>
      </c>
    </row>
    <row r="76" spans="1:27" ht="13.5" thickBot="1" x14ac:dyDescent="0.25">
      <c r="A76" s="80"/>
      <c r="B76" s="3" t="str">
        <f>Segments!$C$15</f>
        <v>Flocculation</v>
      </c>
      <c r="C76" s="33">
        <v>1400</v>
      </c>
      <c r="D76" s="33">
        <v>12</v>
      </c>
      <c r="E76" s="33">
        <v>0</v>
      </c>
      <c r="F76" s="33">
        <v>6.9</v>
      </c>
      <c r="G76" s="35">
        <v>19</v>
      </c>
      <c r="H76" s="28">
        <f>IF(Segments!$C$15="Not In Use",0, (IF(Segments!$F$15="Rectangular",Segments!$D$18*D76-Segments!$D$19, IF(Segments!$C$15="Pipe",Segments!$D$18,Segments!$D$18*D76))))</f>
        <v>0</v>
      </c>
      <c r="I76" s="31">
        <f>IF(Segments!$C$4="Not In Use", 0, IF(C76=0,0,H76*E76/C76))</f>
        <v>0</v>
      </c>
      <c r="J76" s="19">
        <f>IF(I76=0, 0,IF(Segments!$D$15="Chlorine", (I76*EXP(0.071*G76)-0.42)/2.94, IF(Segments!$D$15="Chlorine Dioxide", (I76*EXP(0.072*G76)+35.15)/21.25, IF(Segments!$D$15="Ozone", (I76*EXP(0.068*G76)-0.01)/0.47, IF(Segments!$D$15="Chloramines", (I76*EXP(0.071*G76)+410.7)/849.5, 0)))))</f>
        <v>0</v>
      </c>
      <c r="K76" s="18">
        <f>IF(I76=0, 0,IF(Segments!$D$15="Chlorine", I76/(0.2828*F76^2.69*E76^0.15*0.933^(G76-5)), IF(Segments!$D$15="Chlorine Dioxide", ((I76*G76^0.49)+0.18)/23.85, IF(Segments!$D$15="Ozone", (I76*exp^(0.072*G76)-0.01)/0.98, IF(Segments!$D$15="Chloramines", (I76/(858.5-(24.3*G76))), 0)))))</f>
        <v>0</v>
      </c>
      <c r="L76" s="25">
        <f t="shared" ref="L76:L83" si="38">J76/4</f>
        <v>0</v>
      </c>
      <c r="M76" s="19">
        <f t="shared" ref="M76:M83" si="39">K76/3</f>
        <v>0</v>
      </c>
      <c r="O76" s="80"/>
      <c r="P76" s="3" t="str">
        <f>Segments!$C$15</f>
        <v>Flocculation</v>
      </c>
      <c r="Q76" s="33">
        <v>1400</v>
      </c>
      <c r="R76" s="33"/>
      <c r="S76" s="33">
        <v>1.4</v>
      </c>
      <c r="T76" s="33">
        <v>7.4</v>
      </c>
      <c r="U76" s="35">
        <v>14</v>
      </c>
      <c r="V76" s="28">
        <f>IF(Segments!$C$15="Not In Use",0, (IF(Segments!$F$15="Rectangular",Segments!$D$18*R76-Segments!$D$19, IF(Segments!$C$15="Pipe",Segments!$D$18,Segments!$D$18*R76))))</f>
        <v>0</v>
      </c>
      <c r="W76" s="31">
        <f>IF(Segments!$C$4="Not In Use", 0, IF(Q76=0,0,V76*S76/Q76))</f>
        <v>0</v>
      </c>
      <c r="X76" s="19">
        <f>IF(W76=0, 0,IF(Segments!$D$15="Chlorine", (W76*EXP(0.071*U76)-0.42)/2.94, IF(Segments!$D$15="Chlorine Dioxide", (W76*EXP(0.072*U76)+35.15)/21.25, IF(Segments!$D$15="Ozone", (W76*EXP(0.068*U76)-0.01)/0.47, IF(Segments!$D$15="Chloramines", (W76*EXP(0.071*U76)+410.7)/849.5, 0)))))</f>
        <v>0</v>
      </c>
      <c r="Y76" s="18">
        <f>IF(W76=0, 0,IF(Segments!$D$15="Chlorine", W76/(0.2828*T76^2.69*S76^0.15*0.933^(U76-5)), IF(Segments!$D$15="Chlorine Dioxide", ((W76*U76^0.49)+0.18)/23.85, IF(Segments!$D$15="Ozone", (W76*exp^(0.072*U76)-0.01)/0.98, IF(Segments!$D$15="Chloramines", (W76/(858.5-(24.3*U76))), 0)))))</f>
        <v>0</v>
      </c>
      <c r="Z76" s="25">
        <f t="shared" ref="Z76:Z83" si="40">X76/4</f>
        <v>0</v>
      </c>
      <c r="AA76" s="19">
        <f t="shared" ref="AA76:AA83" si="41">Y76/3</f>
        <v>0</v>
      </c>
    </row>
    <row r="77" spans="1:27" ht="13.5" thickBot="1" x14ac:dyDescent="0.25">
      <c r="A77" s="80"/>
      <c r="B77" s="3" t="str">
        <f>Segments!$C$26</f>
        <v>Sedimentation</v>
      </c>
      <c r="C77" s="33">
        <v>1400</v>
      </c>
      <c r="D77" s="33">
        <v>12</v>
      </c>
      <c r="E77" s="33">
        <v>0</v>
      </c>
      <c r="F77" s="33">
        <v>6.9</v>
      </c>
      <c r="G77" s="35">
        <v>19</v>
      </c>
      <c r="H77" s="28">
        <f>IF(Segments!$C$26="Not In Use",0, (IF(Segments!$F$26="Rectangular",Segments!$D$29*D77-Segments!$D$30, IF(Segments!$C$26="Pipe",Segments!$D$29,Segments!$D$29*D77))))</f>
        <v>0</v>
      </c>
      <c r="I77" s="31">
        <f>IF(Segments!$C$4="Not In Use", 0, IF(C77=0,0,H77*E77/C77))</f>
        <v>0</v>
      </c>
      <c r="J77" s="19">
        <f>IF(I77=0, 0,IF(Segments!$D$26="Chlorine", (I77*EXP(0.071*G77)-0.42)/2.94, IF(Segments!$D$26="Chlorine Dioxide", (I77*EXP(0.072*G77)+35.15)/21.25, IF(Segments!$D$26="Ozone", (I77*EXP(0.068*G77)-0.01)/0.47, IF(Segments!$D$26="Chloramines", (I77*EXP(0.071*G77)+410.7)/849.5, 0)))))</f>
        <v>0</v>
      </c>
      <c r="K77" s="18">
        <f>IF(I77=0, 0,IF(Segments!$D$26="Chlorine", I77/(0.2828*F77^2.69*E77^0.15*0.933^(G77-5)), IF(Segments!$D$26="Chlorine Dioxide", ((I77*G77^0.49)+0.18)/23.85, IF(Segments!$D$26="Ozone",((I77*EXP(0.072*G77)-0.01)/0.98),IF(Segments!$D$26="Chloramines", (I77/(858.5-(24.3*G77))), 0)))))</f>
        <v>0</v>
      </c>
      <c r="L77" s="25">
        <f t="shared" si="38"/>
        <v>0</v>
      </c>
      <c r="M77" s="19">
        <f t="shared" si="39"/>
        <v>0</v>
      </c>
      <c r="O77" s="80"/>
      <c r="P77" s="3" t="str">
        <f>Segments!$C$26</f>
        <v>Sedimentation</v>
      </c>
      <c r="Q77" s="33"/>
      <c r="R77" s="33"/>
      <c r="S77" s="33"/>
      <c r="T77" s="33"/>
      <c r="U77" s="35"/>
      <c r="V77" s="28">
        <f>IF(Segments!$C$26="Not In Use",0, (IF(Segments!$F$26="Rectangular",Segments!$D$29*R77-Segments!$D$30, IF(Segments!$C$26="Pipe",Segments!$D$29,Segments!$D$29*R77))))</f>
        <v>0</v>
      </c>
      <c r="W77" s="31">
        <f>IF(Segments!$C$4="Not In Use", 0, IF(Q77=0,0,V77*S77/Q77))</f>
        <v>0</v>
      </c>
      <c r="X77" s="19">
        <f>IF(W77=0, 0,IF(Segments!$D$26="Chlorine", (W77*EXP(0.071*U77)-0.42)/2.94, IF(Segments!$D$26="Chlorine Dioxide", (W77*EXP(0.072*U77)+35.15)/21.25, IF(Segments!$D$26="Ozone", (W77*EXP(0.068*U77)-0.01)/0.47, IF(Segments!$D$26="Chloramines", (W77*EXP(0.071*U77)+410.7)/849.5, 0)))))</f>
        <v>0</v>
      </c>
      <c r="Y77" s="18">
        <f>IF(W77=0, 0,IF(Segments!$D$26="Chlorine", W77/(0.2828*T77^2.69*S77^0.15*0.933^(U77-5)), IF(Segments!$D$26="Chlorine Dioxide", ((W77*U77^0.49)+0.18)/23.85, IF(Segments!$D$26="Ozone",((W77*EXP(0.072*U77)-0.01)/0.98),IF(Segments!$D$26="Chloramines", (W77/(858.5-(24.3*U77))), 0)))))</f>
        <v>0</v>
      </c>
      <c r="Z77" s="25">
        <f t="shared" si="40"/>
        <v>0</v>
      </c>
      <c r="AA77" s="19">
        <f t="shared" si="41"/>
        <v>0</v>
      </c>
    </row>
    <row r="78" spans="1:27" ht="13.5" thickBot="1" x14ac:dyDescent="0.25">
      <c r="A78" s="80"/>
      <c r="B78" s="3" t="str">
        <f>Segments!$C$39</f>
        <v>Filtration</v>
      </c>
      <c r="C78" s="33">
        <v>1400</v>
      </c>
      <c r="D78" s="33">
        <v>5</v>
      </c>
      <c r="E78" s="33">
        <v>0.5</v>
      </c>
      <c r="F78" s="33">
        <v>6.9</v>
      </c>
      <c r="G78" s="35">
        <v>19</v>
      </c>
      <c r="H78" s="28">
        <f>IF(Segments!$C$39="Not In Use",0, (IF(Segments!$F$39="Rectangular",Segments!$D$42*D78-Segments!$D$43, IF(Segments!$C$39="Pipe",Segments!$D$42,Segments!$D$42*D78))))</f>
        <v>13669.7</v>
      </c>
      <c r="I78" s="31">
        <f>IF(Segments!$C$4="Not In Use", 0, IF(C78=0,0,H78*E78/C78))</f>
        <v>4.8820357142857143</v>
      </c>
      <c r="J78" s="19">
        <f>IF(I78=0, 0,IF(Segments!$D$39="Chlorine", (I78*EXP(0.071*G78)-0.42)/2.94, IF(Segments!$D$39="Chlorine Dioxide", (I78*EXP(0.072*G78)+35.15)/21.25, IF(Segments!$D$39="Ozone", (I78*EXP(0.068*G78)-0.01)/0.47, IF(Segments!$D$39="Chloramines", (I78*EXP(0.071*G78)+410.7)/849.5, 0)))))</f>
        <v>6.2562131053608159</v>
      </c>
      <c r="K78" s="18">
        <f>IF(I78=0, 0,IF(Segments!$D$39="Chlorine", I78/(0.2828*F78^2.69*E78^0.15*0.933^(G78-5)), IF(Segments!$D$39="Chlorine Dioxide", ((I78*G78^0.49)+0.18)/23.85, IF(Segments!$D$39="Ozone", (I78*EXP(0.072*G78)-0.01)/0.98, IF(Segments!$D$39="Chloramines", (I78/(858.5-(24.3*G78))), 0)))))</f>
        <v>0.28017474145721827</v>
      </c>
      <c r="L78" s="25">
        <f t="shared" si="38"/>
        <v>1.564053276340204</v>
      </c>
      <c r="M78" s="19">
        <f t="shared" si="39"/>
        <v>9.3391580485739423E-2</v>
      </c>
      <c r="O78" s="80"/>
      <c r="P78" s="3" t="str">
        <f>Segments!$C$39</f>
        <v>Filtration</v>
      </c>
      <c r="Q78" s="33"/>
      <c r="R78" s="33"/>
      <c r="S78" s="33"/>
      <c r="T78" s="33"/>
      <c r="U78" s="35"/>
      <c r="V78" s="28">
        <f>IF(Segments!$C$39="Not In Use",0, (IF(Segments!$F$39="Rectangular",Segments!$D$42*R78-Segments!$D$43, IF(Segments!$C$39="Pipe",Segments!$D$42,Segments!$D$42*R78))))</f>
        <v>0</v>
      </c>
      <c r="W78" s="31">
        <f>IF(Segments!$C$4="Not In Use", 0, IF(Q78=0,0,V78*S78/Q78))</f>
        <v>0</v>
      </c>
      <c r="X78" s="19">
        <f>IF(W78=0, 0,IF(Segments!$D$39="Chlorine", (W78*EXP(0.071*U78)-0.42)/2.94, IF(Segments!$D$39="Chlorine Dioxide", (W78*EXP(0.072*U78)+35.15)/21.25, IF(Segments!$D$39="Ozone", (W78*EXP(0.068*U78)-0.01)/0.47, IF(Segments!$D$39="Chloramines", (W78*EXP(0.071*U78)+410.7)/849.5, 0)))))</f>
        <v>0</v>
      </c>
      <c r="Y78" s="18">
        <f>IF(W78=0, 0,IF(Segments!$D$39="Chlorine", W78/(0.2828*T78^2.69*S78^0.15*0.933^(U78-5)), IF(Segments!$D$39="Chlorine Dioxide", ((W78*U78^0.49)+0.18)/23.85, IF(Segments!$D$39="Ozone", (W78*EXP(0.072*U78)-0.01)/0.98, IF(Segments!$D$39="Chloramines", (W78/(858.5-(24.3*U78))), 0)))))</f>
        <v>0</v>
      </c>
      <c r="Z78" s="25">
        <f t="shared" si="40"/>
        <v>0</v>
      </c>
      <c r="AA78" s="19">
        <f t="shared" si="41"/>
        <v>0</v>
      </c>
    </row>
    <row r="79" spans="1:27" ht="13.5" thickBot="1" x14ac:dyDescent="0.25">
      <c r="A79" s="80"/>
      <c r="B79" s="3" t="str">
        <f>Segments!$C$50</f>
        <v>Clearwell</v>
      </c>
      <c r="C79" s="33">
        <v>1400</v>
      </c>
      <c r="D79" s="33">
        <v>10</v>
      </c>
      <c r="E79" s="33">
        <v>1.5</v>
      </c>
      <c r="F79" s="33">
        <v>7</v>
      </c>
      <c r="G79" s="35">
        <v>19</v>
      </c>
      <c r="H79" s="28">
        <f>IF(Segments!$C$50="Not In Use",0, (IF(Segments!$F$50="Rectangular",Segments!$D$53*D79-Segments!$D$54, IF(Segments!$C$50="Pipe",Segments!$D$53,Segments!$D$53*D79))))</f>
        <v>99184.800000000017</v>
      </c>
      <c r="I79" s="31">
        <f>IF(Segments!$C$4="Not In Use", 0, IF(C79=0,0,H79*E79/C79))</f>
        <v>106.26942857142858</v>
      </c>
      <c r="J79" s="19">
        <f>IF(I79=0, 0,IF(Segments!$D$50="Chlorine", (I79*EXP(0.071*G79)-0.42)/2.94, IF(Segments!$D$50="Chlorine Dioxide", (I79*EXP(0.072*G79)+35.15)/21.25, IF(Segments!$D$50="Ozone", (I79*EXP(0.068*G79)-0.01)/0.47, IF(Segments!$D$50="Chloramines", (I79*EXP(0.071*G79)+410.7)/849.5, 0)))))</f>
        <v>139.14853244625934</v>
      </c>
      <c r="K79" s="18">
        <f>IF(I79=0, 0,IF(Segments!$D$50="Chlorine", I79/(0.2828*F79^2.69*E79^0.15*0.933^(G79-5)), IF(Segments!$D$50="Chlorine Dioxide", ((I79*G79^0.49)+0.18)/23.85, IF(Segments!$D$50="Ozone", (I79*EXP(0.072*G79)-0.01)/0.98, IF(Segments!$D$50="Chloramines", (I79/(858.5-(24.3*G79))), 0)))))</f>
        <v>4.9757495366863838</v>
      </c>
      <c r="L79" s="25">
        <f t="shared" si="38"/>
        <v>34.787133111564835</v>
      </c>
      <c r="M79" s="19">
        <f t="shared" si="39"/>
        <v>1.6585831788954613</v>
      </c>
      <c r="O79" s="80"/>
      <c r="P79" s="3" t="str">
        <f>Segments!$C$50</f>
        <v>Clearwell</v>
      </c>
      <c r="Q79" s="33"/>
      <c r="R79" s="33"/>
      <c r="S79" s="33"/>
      <c r="T79" s="33"/>
      <c r="U79" s="35"/>
      <c r="V79" s="28">
        <f>IF(Segments!$C$50="Not In Use",0, (IF(Segments!$F$50="Rectangular",Segments!$D$53*R79-Segments!$D$54, IF(Segments!$C$50="Pipe",Segments!$D$53,Segments!$D$53*R79))))</f>
        <v>0</v>
      </c>
      <c r="W79" s="31">
        <f>IF(Segments!$C$4="Not In Use", 0, IF(Q79=0,0,V79*S79/Q79))</f>
        <v>0</v>
      </c>
      <c r="X79" s="19">
        <f>IF(W79=0, 0,IF(Segments!$D$50="Chlorine", (W79*EXP(0.071*U79)-0.42)/2.94, IF(Segments!$D$50="Chlorine Dioxide", (W79*EXP(0.072*U79)+35.15)/21.25, IF(Segments!$D$50="Ozone", (W79*EXP(0.068*U79)-0.01)/0.47, IF(Segments!$D$50="Chloramines", (W79*EXP(0.071*U79)+410.7)/849.5, 0)))))</f>
        <v>0</v>
      </c>
      <c r="Y79" s="18">
        <f>IF(W79=0, 0,IF(Segments!$D$50="Chlorine", W79/(0.2828*T79^2.69*S79^0.15*0.933^(U79-5)), IF(Segments!$D$50="Chlorine Dioxide", ((W79*U79^0.49)+0.18)/23.85, IF(Segments!$D$50="Ozone", (W79*EXP(0.072*U79)-0.01)/0.98, IF(Segments!$D$50="Chloramines", (W79/(858.5-(24.3*U79))), 0)))))</f>
        <v>0</v>
      </c>
      <c r="Z79" s="25">
        <f t="shared" si="40"/>
        <v>0</v>
      </c>
      <c r="AA79" s="19">
        <f t="shared" si="41"/>
        <v>0</v>
      </c>
    </row>
    <row r="80" spans="1:27" ht="13.5" thickBot="1" x14ac:dyDescent="0.25">
      <c r="A80" s="80"/>
      <c r="B80" s="3" t="str">
        <f>Segments!$C$61</f>
        <v>Not In Use</v>
      </c>
      <c r="C80" s="33"/>
      <c r="D80" s="33"/>
      <c r="E80" s="33"/>
      <c r="F80" s="33"/>
      <c r="G80" s="35"/>
      <c r="H80" s="28">
        <f>IF(Segments!$C$61="Not In Use",0, (IF(Segments!$F$61="Rectangular",Segments!$D$64*D80-Segments!$D$65, IF(Segments!$C$61="Pipe",Segments!$D$64,Segments!$D$64*D80))))</f>
        <v>0</v>
      </c>
      <c r="I80" s="31">
        <f>IF(Segments!$C$4="Not In Use", 0, IF(C80=0,0,H80*E80/C80))</f>
        <v>0</v>
      </c>
      <c r="J80" s="19">
        <f>IF(I80=0, 0,IF(Segments!$D$61="Chlorine", (I80*EXP(0.071*G80)-0.42)/2.94, IF(Segments!$D$61="Chlorine Dioxide", (I80*EXP(0.072*G80)+35.15)/21.25, IF(Segments!$D$61="Ozone", (I80*EXP(0.068*G80)-0.01)/0.47, IF(Segments!$D$61="Chloramines", (I80*EXP(0.071*G80)+410.7)/849.5, 0)))))</f>
        <v>0</v>
      </c>
      <c r="K80" s="18">
        <f>IF(I80=0, 0,IF(Segments!$D$61="Chlorine", I80/(0.2828*F80^2.69*E80^0.15*0.933^(G80-5)), IF(Segments!$D$61="Chlorine Dioxide", ((I80*G80^0.49)+0.18)/23.85, IF(Segments!$D$61="Ozone", (I80*EXP(0.072*G80)-0.01)/0.98, IF(Segments!$D$61="Chloramines", (I80/(858.5-(24.3*G80))), 0)))))</f>
        <v>0</v>
      </c>
      <c r="L80" s="25">
        <f t="shared" si="38"/>
        <v>0</v>
      </c>
      <c r="M80" s="19">
        <f t="shared" si="39"/>
        <v>0</v>
      </c>
      <c r="O80" s="80"/>
      <c r="P80" s="3" t="str">
        <f>Segments!$C$61</f>
        <v>Not In Use</v>
      </c>
      <c r="Q80" s="33"/>
      <c r="R80" s="33"/>
      <c r="S80" s="33"/>
      <c r="T80" s="33"/>
      <c r="U80" s="35"/>
      <c r="V80" s="28">
        <f>IF(Segments!$C$61="Not In Use",0, (IF(Segments!$F$61="Rectangular",Segments!$D$64*R80-Segments!$D$65, IF(Segments!$C$61="Pipe",Segments!$D$64,Segments!$D$64*R80))))</f>
        <v>0</v>
      </c>
      <c r="W80" s="31">
        <f>IF(Segments!$C$4="Not In Use", 0, IF(Q80=0,0,V80*S80/Q80))</f>
        <v>0</v>
      </c>
      <c r="X80" s="19">
        <f>IF(W80=0, 0,IF(Segments!$D$61="Chlorine", (W80*EXP(0.071*U80)-0.42)/2.94, IF(Segments!$D$61="Chlorine Dioxide", (W80*EXP(0.072*U80)+35.15)/21.25, IF(Segments!$D$61="Ozone", (W80*EXP(0.068*U80)-0.01)/0.47, IF(Segments!$D$61="Chloramines", (W80*EXP(0.071*U80)+410.7)/849.5, 0)))))</f>
        <v>0</v>
      </c>
      <c r="Y80" s="18">
        <f>IF(W80=0, 0,IF(Segments!$D$61="Chlorine", W80/(0.2828*T80^2.69*S80^0.15*0.933^(U80-5)), IF(Segments!$D$61="Chlorine Dioxide", ((W80*U80^0.49)+0.18)/23.85, IF(Segments!$D$61="Ozone", (W80*EXP(0.072*U80)-0.01)/0.98, IF(Segments!$D$61="Chloramines", (W80/(858.5-(24.3*U80))), 0)))))</f>
        <v>0</v>
      </c>
      <c r="Z80" s="25">
        <f t="shared" si="40"/>
        <v>0</v>
      </c>
      <c r="AA80" s="19">
        <f t="shared" si="41"/>
        <v>0</v>
      </c>
    </row>
    <row r="81" spans="1:27" ht="13.5" thickBot="1" x14ac:dyDescent="0.25">
      <c r="A81" s="80"/>
      <c r="B81" s="3" t="str">
        <f>Segments!$C$74</f>
        <v>Not In Use</v>
      </c>
      <c r="C81" s="33"/>
      <c r="D81" s="33"/>
      <c r="E81" s="33"/>
      <c r="F81" s="33"/>
      <c r="G81" s="35"/>
      <c r="H81" s="28">
        <f>IF(Segments!$C$74="Not In Use",0, (IF(Segments!$F$74="Rectangular",Segments!$D$77*D81-Segments!$D$78, IF(Segments!$C$74="Pipe",Segments!$D$77,Segments!$D$77*D81))))</f>
        <v>0</v>
      </c>
      <c r="I81" s="31">
        <f>IF(Segments!$C$4="Not In Use", 0, IF(C81=0,0,H81*E81/C81))</f>
        <v>0</v>
      </c>
      <c r="J81" s="19">
        <f>IF(I81=0, 0,IF(Segments!$D$74="Chlorine", (I81*EXP(0.071*G81)-0.42)/2.94, IF(Segments!$D$74="Chlorine Dioxide", (I81*EXP(0.072*G81)+35.15)/21.25, IF(Segments!$D$74="Ozone", (I81*EXP(0.068*G81)-0.01)/0.47, IF(Segments!$D$74="Chloramines", (I81*EXP(0.071*G81)+410.7)/849.5, 0)))))</f>
        <v>0</v>
      </c>
      <c r="K81" s="18">
        <f>IF(I81=0, 0,IF(Segments!$D$74="Chlorine", I81/(0.2828*F81^2.69*E81^0.15*0.933^(G81-5)), IF(Segments!$D$74="Chlorine Dioxide", ((I81*G81^0.49)+0.18)/23.85, IF(Segments!$D$74="Ozone", (I81*EXP(0.072*G81)-0.01)/0.98, IF(Segments!$D$74="Chloramines", (I81/(858.5-(24.3*G81))), 0)))))</f>
        <v>0</v>
      </c>
      <c r="L81" s="25">
        <f t="shared" si="38"/>
        <v>0</v>
      </c>
      <c r="M81" s="19">
        <f t="shared" si="39"/>
        <v>0</v>
      </c>
      <c r="O81" s="80"/>
      <c r="P81" s="3" t="str">
        <f>Segments!$C$74</f>
        <v>Not In Use</v>
      </c>
      <c r="Q81" s="33"/>
      <c r="R81" s="33"/>
      <c r="S81" s="33"/>
      <c r="T81" s="33"/>
      <c r="U81" s="35"/>
      <c r="V81" s="28">
        <f>IF(Segments!$C$74="Not In Use",0, (IF(Segments!$F$74="Rectangular",Segments!$D$77*R81-Segments!$D$78, IF(Segments!$C$74="Pipe",Segments!$D$77,Segments!$D$77*R81))))</f>
        <v>0</v>
      </c>
      <c r="W81" s="31">
        <f>IF(Segments!$C$4="Not In Use", 0, IF(Q81=0,0,V81*S81/Q81))</f>
        <v>0</v>
      </c>
      <c r="X81" s="19">
        <f>IF(W81=0, 0,IF(Segments!$D$74="Chlorine", (W81*EXP(0.071*U81)-0.42)/2.94, IF(Segments!$D$74="Chlorine Dioxide", (W81*EXP(0.072*U81)+35.15)/21.25, IF(Segments!$D$74="Ozone", (W81*EXP(0.068*U81)-0.01)/0.47, IF(Segments!$D$74="Chloramines", (W81*EXP(0.071*U81)+410.7)/849.5, 0)))))</f>
        <v>0</v>
      </c>
      <c r="Y81" s="18">
        <f>IF(W81=0, 0,IF(Segments!$D$74="Chlorine", W81/(0.2828*T81^2.69*S81^0.15*0.933^(U81-5)), IF(Segments!$D$74="Chlorine Dioxide", ((W81*U81^0.49)+0.18)/23.85, IF(Segments!$D$74="Ozone", (W81*EXP(0.072*U81)-0.01)/0.98, IF(Segments!$D$74="Chloramines", (W81/(858.5-(24.3*U81))), 0)))))</f>
        <v>0</v>
      </c>
      <c r="Z81" s="25">
        <f t="shared" si="40"/>
        <v>0</v>
      </c>
      <c r="AA81" s="19">
        <f t="shared" si="41"/>
        <v>0</v>
      </c>
    </row>
    <row r="82" spans="1:27" ht="13.5" thickBot="1" x14ac:dyDescent="0.25">
      <c r="A82" s="80"/>
      <c r="B82" s="3" t="str">
        <f>Segments!$C$85</f>
        <v>Not In Use</v>
      </c>
      <c r="C82" s="33"/>
      <c r="D82" s="33"/>
      <c r="E82" s="33"/>
      <c r="F82" s="33"/>
      <c r="G82" s="35"/>
      <c r="H82" s="28">
        <f>IF(Segments!$C$85="Not In Use",0, (IF(Segments!$F$85="Rectangular",Segments!$D$88*D82-Segments!$D$89, IF(Segments!$C$85="Pipe",Segments!$D$88,Segments!$D$88*D82))))</f>
        <v>0</v>
      </c>
      <c r="I82" s="31">
        <f>IF(Segments!$C$4="Not In Use", 0, IF(C82=0,0,H82*E82/C82))</f>
        <v>0</v>
      </c>
      <c r="J82" s="19">
        <f>IF(I82=0, 0,IF(Segments!$D$85="Chlorine", (I82*EXP(0.071*G82)-0.42)/2.94, IF(Segments!$D$85="Chlorine Dioxide", (I82*EXP(0.072*G82)+35.15)/21.25, IF(Segments!$D$85="Ozone", (I82*EXP(0.068*G82)-0.01)/0.47, IF(Segments!$D$85="Chloramines", (I82*EXP(0.071*G82)+410.7)/849.5, 0)))))</f>
        <v>0</v>
      </c>
      <c r="K82" s="18">
        <f>IF(I82=0, 0,IF(Segments!$D$85="Chlorine", I82/(0.2828*F82^2.69*E82^0.15*0.933^(G82-5)), IF(Segments!$D$85="Chlorine Dioxide", ((I82*G82^0.49)+0.18)/23.85, IF(Segments!$D$85="Ozone", (I82*EXP(0.072*G82)-0.01)/0.98, IF(Segments!$D$85="Chloramines", (I82/(858.5-(24.3*G82))), 0)))))</f>
        <v>0</v>
      </c>
      <c r="L82" s="25">
        <f t="shared" si="38"/>
        <v>0</v>
      </c>
      <c r="M82" s="19">
        <f t="shared" si="39"/>
        <v>0</v>
      </c>
      <c r="O82" s="80"/>
      <c r="P82" s="3" t="str">
        <f>Segments!$C$85</f>
        <v>Not In Use</v>
      </c>
      <c r="Q82" s="33"/>
      <c r="R82" s="33"/>
      <c r="S82" s="33"/>
      <c r="T82" s="33"/>
      <c r="U82" s="35"/>
      <c r="V82" s="28">
        <f>IF(Segments!$C$85="Not In Use",0, (IF(Segments!$F$85="Rectangular",Segments!$D$88*R82-Segments!$D$89, IF(Segments!$C$85="Pipe",Segments!$D$88,Segments!$D$88*R82))))</f>
        <v>0</v>
      </c>
      <c r="W82" s="31">
        <f>IF(Segments!$C$4="Not In Use", 0, IF(Q82=0,0,V82*S82/Q82))</f>
        <v>0</v>
      </c>
      <c r="X82" s="19">
        <f>IF(W82=0, 0,IF(Segments!$D$85="Chlorine", (W82*EXP(0.071*U82)-0.42)/2.94, IF(Segments!$D$85="Chlorine Dioxide", (W82*EXP(0.072*U82)+35.15)/21.25, IF(Segments!$D$85="Ozone", (W82*EXP(0.068*U82)-0.01)/0.47, IF(Segments!$D$85="Chloramines", (W82*EXP(0.071*U82)+410.7)/849.5, 0)))))</f>
        <v>0</v>
      </c>
      <c r="Y82" s="18">
        <f>IF(W82=0, 0,IF(Segments!$D$85="Chlorine", W82/(0.2828*T82^2.69*S82^0.15*0.933^(U82-5)), IF(Segments!$D$85="Chlorine Dioxide", ((W82*U82^0.49)+0.18)/23.85, IF(Segments!$D$85="Ozone", (W82*EXP(0.072*U82)-0.01)/0.98, IF(Segments!$D$85="Chloramines", (W82/(858.5-(24.3*U82))), 0)))))</f>
        <v>0</v>
      </c>
      <c r="Z82" s="25">
        <f t="shared" si="40"/>
        <v>0</v>
      </c>
      <c r="AA82" s="19">
        <f t="shared" si="41"/>
        <v>0</v>
      </c>
    </row>
    <row r="83" spans="1:27" ht="13.5" thickBot="1" x14ac:dyDescent="0.25">
      <c r="A83" s="80"/>
      <c r="B83" s="3" t="str">
        <f>Segments!$C$96</f>
        <v>Not In Use</v>
      </c>
      <c r="C83" s="36"/>
      <c r="D83" s="36"/>
      <c r="E83" s="36"/>
      <c r="F83" s="36"/>
      <c r="G83" s="34"/>
      <c r="H83" s="29">
        <f>IF(Segments!$C$96="Not In Use",0, (IF(Segments!$F$96="Rectangular",Segments!$D$99*D83-Segments!$D$100, IF(Segments!$C$96="Pipe",Segments!$D$99,Segments!$D$99*D83))))</f>
        <v>0</v>
      </c>
      <c r="I83" s="32">
        <f>IF(Segments!$C$4="Not In Use", 0, IF(C83=0,0,H83*E83/C83))</f>
        <v>0</v>
      </c>
      <c r="J83" s="19">
        <f>IF(I83=0, 0,IF(Segments!$D$96="Chlorine", (I83*EXP(0.071*G83)-0.42)/2.94, IF(Segments!$D$96="Chlorine Dioxide", (I83*EXP(0.072*G83)+35.15)/21.25, IF(Segments!$D$96="Ozone", (I83*EXP(0.068*G83)-0.01)/0.47, IF(Segments!$D$96="Chloramines", (I83*EXP(0.071*G83)+410.7)/849.5, 0)))))</f>
        <v>0</v>
      </c>
      <c r="K83" s="18">
        <f>IF(I83=0, 0,IF(Segments!$D$96="Chlorine", I83/(0.2828*F83^2.69*E83^0.15*0.933^(G83-5)), IF(Segments!$D$96="Chlorine Dioxide", ((I83*G83^0.49)+0.18)/23.85, IF(Segments!$D$96="Ozone", (I83*EXP(0.072*G83)-0.01)/0.98, IF(Segments!$D$96="Chloramines", (I83/(858.5-(24.3*G83))), 0)))))</f>
        <v>0</v>
      </c>
      <c r="L83" s="25">
        <f t="shared" si="38"/>
        <v>0</v>
      </c>
      <c r="M83" s="19">
        <f t="shared" si="39"/>
        <v>0</v>
      </c>
      <c r="O83" s="80"/>
      <c r="P83" s="3" t="str">
        <f>Segments!$C$96</f>
        <v>Not In Use</v>
      </c>
      <c r="Q83" s="36"/>
      <c r="R83" s="36"/>
      <c r="S83" s="36"/>
      <c r="T83" s="36"/>
      <c r="U83" s="34"/>
      <c r="V83" s="29">
        <f>IF(Segments!$C$96="Not In Use",0, (IF(Segments!$F$96="Rectangular",Segments!$D$99*R83-Segments!$D$100, IF(Segments!$C$96="Pipe",Segments!$D$99,Segments!$D$99*R83))))</f>
        <v>0</v>
      </c>
      <c r="W83" s="32">
        <f>IF(Segments!$C$4="Not In Use", 0, IF(Q83=0,0,V83*S83/Q83))</f>
        <v>0</v>
      </c>
      <c r="X83" s="19">
        <f>IF(W83=0, 0,IF(Segments!$D$96="Chlorine", (W83*EXP(0.071*U83)-0.42)/2.94, IF(Segments!$D$96="Chlorine Dioxide", (W83*EXP(0.072*U83)+35.15)/21.25, IF(Segments!$D$96="Ozone", (W83*EXP(0.068*U83)-0.01)/0.47, IF(Segments!$D$96="Chloramines", (W83*EXP(0.071*U83)+410.7)/849.5, 0)))))</f>
        <v>0</v>
      </c>
      <c r="Y83" s="18">
        <f>IF(W83=0, 0,IF(Segments!$D$96="Chlorine", W83/(0.2828*T83^2.69*S83^0.15*0.933^(U83-5)), IF(Segments!$D$96="Chlorine Dioxide", ((W83*U83^0.49)+0.18)/23.85, IF(Segments!$D$96="Ozone", (W83*EXP(0.072*U83)-0.01)/0.98, IF(Segments!$D$96="Chloramines", (W83/(858.5-(24.3*U83))), 0)))))</f>
        <v>0</v>
      </c>
      <c r="Z83" s="25">
        <f t="shared" si="40"/>
        <v>0</v>
      </c>
      <c r="AA83" s="19">
        <f t="shared" si="41"/>
        <v>0</v>
      </c>
    </row>
    <row r="84" spans="1:27" ht="13.5" thickBot="1" x14ac:dyDescent="0.25">
      <c r="A84" s="81"/>
      <c r="B84" s="22" t="s">
        <v>42</v>
      </c>
      <c r="C84" s="23"/>
      <c r="D84" s="23"/>
      <c r="E84" s="23"/>
      <c r="F84" s="23"/>
      <c r="G84" s="23"/>
      <c r="H84" s="26"/>
      <c r="I84" s="50">
        <f>SUM(I75:I83)</f>
        <v>112.09274214285715</v>
      </c>
      <c r="J84" s="50">
        <f>SUM(J75:J83)</f>
        <v>146.49565716496525</v>
      </c>
      <c r="K84" s="50">
        <f>SUM(K75:K83)</f>
        <v>5.3142450391756331</v>
      </c>
      <c r="L84" s="50">
        <f>SUM(L75:L83)</f>
        <v>36.623914291241313</v>
      </c>
      <c r="M84" s="50">
        <f>SUM(M75:M83)</f>
        <v>1.7714150130585442</v>
      </c>
      <c r="O84" s="81"/>
      <c r="P84" s="22" t="s">
        <v>42</v>
      </c>
      <c r="Q84" s="23"/>
      <c r="R84" s="23"/>
      <c r="S84" s="23"/>
      <c r="T84" s="23"/>
      <c r="U84" s="23"/>
      <c r="V84" s="26"/>
      <c r="W84" s="50">
        <f>SUM(W75:W83)</f>
        <v>3.2944724999999999</v>
      </c>
      <c r="X84" s="50">
        <f>SUM(X75:X83)</f>
        <v>2.8849434613260505</v>
      </c>
      <c r="Y84" s="50">
        <f>SUM(Y75:Y83)</f>
        <v>9.4889718101434636E-2</v>
      </c>
      <c r="Z84" s="50">
        <f>SUM(Z75:Z83)</f>
        <v>0.72123586533151263</v>
      </c>
      <c r="AA84" s="50">
        <f>SUM(AA75:AA83)</f>
        <v>3.1629906033811543E-2</v>
      </c>
    </row>
    <row r="85" spans="1:27" ht="6.75" customHeight="1" thickBot="1" x14ac:dyDescent="0.25">
      <c r="A85" s="15"/>
      <c r="B85" s="15"/>
      <c r="C85" s="15"/>
      <c r="D85" s="15"/>
      <c r="E85" s="15"/>
      <c r="F85" s="15"/>
      <c r="G85" s="15"/>
      <c r="H85" s="15"/>
      <c r="I85" s="15"/>
      <c r="J85" s="15"/>
      <c r="K85" s="15"/>
      <c r="L85" s="15"/>
      <c r="M85" s="15"/>
      <c r="O85" s="15"/>
      <c r="P85" s="15"/>
      <c r="Q85" s="15"/>
      <c r="R85" s="15"/>
      <c r="S85" s="15"/>
      <c r="T85" s="15"/>
      <c r="U85" s="15"/>
      <c r="V85" s="15"/>
      <c r="W85" s="15"/>
      <c r="X85" s="15"/>
      <c r="Y85" s="15"/>
      <c r="Z85" s="15"/>
      <c r="AA85" s="15"/>
    </row>
    <row r="86" spans="1:27" ht="51.75" customHeight="1" thickBot="1" x14ac:dyDescent="0.25">
      <c r="A86" s="79" t="s">
        <v>56</v>
      </c>
      <c r="B86" s="6" t="s">
        <v>23</v>
      </c>
      <c r="C86" s="16" t="s">
        <v>83</v>
      </c>
      <c r="D86" s="6" t="s">
        <v>38</v>
      </c>
      <c r="E86" s="16" t="s">
        <v>45</v>
      </c>
      <c r="F86" s="16" t="s">
        <v>6</v>
      </c>
      <c r="G86" s="16" t="s">
        <v>37</v>
      </c>
      <c r="H86" s="16" t="s">
        <v>35</v>
      </c>
      <c r="I86" s="16" t="s">
        <v>46</v>
      </c>
      <c r="J86" s="16" t="s">
        <v>39</v>
      </c>
      <c r="K86" s="16" t="s">
        <v>40</v>
      </c>
      <c r="L86" s="16" t="s">
        <v>41</v>
      </c>
      <c r="M86" s="17" t="s">
        <v>36</v>
      </c>
      <c r="O86" s="79" t="s">
        <v>63</v>
      </c>
      <c r="P86" s="6" t="s">
        <v>23</v>
      </c>
      <c r="Q86" s="16" t="s">
        <v>83</v>
      </c>
      <c r="R86" s="6" t="s">
        <v>38</v>
      </c>
      <c r="S86" s="16" t="s">
        <v>45</v>
      </c>
      <c r="T86" s="16" t="s">
        <v>6</v>
      </c>
      <c r="U86" s="16" t="s">
        <v>37</v>
      </c>
      <c r="V86" s="16" t="s">
        <v>35</v>
      </c>
      <c r="W86" s="16" t="s">
        <v>46</v>
      </c>
      <c r="X86" s="16" t="s">
        <v>39</v>
      </c>
      <c r="Y86" s="16" t="s">
        <v>40</v>
      </c>
      <c r="Z86" s="16" t="s">
        <v>41</v>
      </c>
      <c r="AA86" s="17" t="s">
        <v>36</v>
      </c>
    </row>
    <row r="87" spans="1:27" ht="13.5" thickBot="1" x14ac:dyDescent="0.25">
      <c r="A87" s="80"/>
      <c r="B87" s="3" t="str">
        <f>Segments!$C$4</f>
        <v>Rapid Mix</v>
      </c>
      <c r="C87" s="34">
        <v>1400</v>
      </c>
      <c r="D87" s="33">
        <v>12</v>
      </c>
      <c r="E87" s="33">
        <v>0.3</v>
      </c>
      <c r="F87" s="33">
        <v>6.9</v>
      </c>
      <c r="G87" s="35">
        <v>19</v>
      </c>
      <c r="H87" s="27">
        <f>IF(Segments!$C$4="Not In Use",0, (IF(Segments!$F$4="Rectangular",Segments!$D$7*D87-Segments!$D$8, IF(Segments!$C$4="Pipe",Segments!$D$7,Segments!$D$7*D87))))</f>
        <v>4392.63</v>
      </c>
      <c r="I87" s="30">
        <f>IF(Segments!$C$4="Not In Use", 0, IF(C87=0,0,H87*E87/C87))</f>
        <v>0.94127785714285717</v>
      </c>
      <c r="J87" s="21">
        <f>IF(I87=0, 0,IF(Segments!$D$4="Chlorine", (I87*EXP(0.071*G87)-0.42)/2.94, IF(Segments!$D$4="Chlorine Dioxide", (I87*EXP(0.072*G87)+35.15)/21.25, IF(Segments!$D$4="Ozone", (I87*EXP(0.068*G87)-0.01)/0.47, IF(Segments!$D$4="Chloramines", (I87*EXP(0.071*G87)+410.7)/849.5, 0)))))</f>
        <v>1.0909116133450996</v>
      </c>
      <c r="K87" s="20">
        <f>IF(I87=0, 0,IF(Segments!$D$4="Chlorine", I87/(0.2828*F87^2.69*E87^0.15*0.933^(G87-5)), IF(Segments!$D$4="Chlorine Dioxide", ((I87*G87^0.49)+0.18)/23.85, IF(Segments!$D$4="Ozone", (I87*EXP(0.072*G87)-0.01)/0.98, IF(Segments!$D$4="Chloramines", (I87/(858.5-(24.3*G87))), 0)))))</f>
        <v>5.8320761032030599E-2</v>
      </c>
      <c r="L87" s="24">
        <f>J87/4</f>
        <v>0.27272790333627489</v>
      </c>
      <c r="M87" s="21">
        <f>K87/3</f>
        <v>1.9440253677343533E-2</v>
      </c>
      <c r="O87" s="80"/>
      <c r="P87" s="3" t="str">
        <f>Segments!$C$4</f>
        <v>Rapid Mix</v>
      </c>
      <c r="Q87" s="34">
        <v>1600</v>
      </c>
      <c r="R87" s="33">
        <v>11</v>
      </c>
      <c r="S87" s="33">
        <v>1.55</v>
      </c>
      <c r="T87" s="33">
        <v>7.5</v>
      </c>
      <c r="U87" s="35">
        <v>15</v>
      </c>
      <c r="V87" s="27">
        <f>IF(Segments!$C$4="Not In Use",0, (IF(Segments!$F$4="Rectangular",Segments!$D$7*R87-Segments!$D$8, IF(Segments!$C$4="Pipe",Segments!$D$7,Segments!$D$7*R87))))</f>
        <v>4026.5775000000003</v>
      </c>
      <c r="W87" s="30">
        <f>IF(Segments!$C$4="Not In Use", 0, IF(Q87=0,0,V87*S87/Q87))</f>
        <v>3.9007469531250005</v>
      </c>
      <c r="X87" s="21">
        <f>IF(W87=0, 0,IF(Segments!$D$4="Chlorine", (W87*EXP(0.071*U87)-0.42)/2.94, IF(Segments!$D$4="Chlorine Dioxide", (W87*EXP(0.072*U87)+35.15)/21.25, IF(Segments!$D$4="Ozone", (W87*EXP(0.068*U87)-0.01)/0.47, IF(Segments!$D$4="Chloramines", (W87*EXP(0.071*U87)+410.7)/849.5, 0)))))</f>
        <v>3.7059315743458638</v>
      </c>
      <c r="Y87" s="20">
        <f>IF(W87=0, 0,IF(Segments!$D$4="Chlorine", W87/(0.2828*T87^2.69*S87^0.15*0.933^(U87-5)), IF(Segments!$D$4="Chlorine Dioxide", ((W87*U87^0.49)+0.18)/23.85, IF(Segments!$D$4="Ozone", (W87*EXP(0.072*U87)-0.01)/0.98, IF(Segments!$D$4="Chloramines", (W87/(858.5-(24.3*U87))), 0)))))</f>
        <v>0.11438982144797637</v>
      </c>
      <c r="Z87" s="24">
        <f>X87/4</f>
        <v>0.92648289358646596</v>
      </c>
      <c r="AA87" s="21">
        <f>Y87/3</f>
        <v>3.8129940482658789E-2</v>
      </c>
    </row>
    <row r="88" spans="1:27" ht="13.5" thickBot="1" x14ac:dyDescent="0.25">
      <c r="A88" s="80"/>
      <c r="B88" s="3" t="str">
        <f>Segments!$C$15</f>
        <v>Flocculation</v>
      </c>
      <c r="C88" s="33">
        <v>1400</v>
      </c>
      <c r="D88" s="33">
        <v>12</v>
      </c>
      <c r="E88" s="33">
        <v>0</v>
      </c>
      <c r="F88" s="33">
        <v>6.9</v>
      </c>
      <c r="G88" s="35">
        <v>19</v>
      </c>
      <c r="H88" s="28">
        <f>IF(Segments!$C$15="Not In Use",0, (IF(Segments!$F$15="Rectangular",Segments!$D$18*D88-Segments!$D$19, IF(Segments!$C$15="Pipe",Segments!$D$18,Segments!$D$18*D88))))</f>
        <v>0</v>
      </c>
      <c r="I88" s="31">
        <f>IF(Segments!$C$4="Not In Use", 0, IF(C88=0,0,H88*E88/C88))</f>
        <v>0</v>
      </c>
      <c r="J88" s="19">
        <f>IF(I88=0, 0,IF(Segments!$D$15="Chlorine", (I88*EXP(0.071*G88)-0.42)/2.94, IF(Segments!$D$15="Chlorine Dioxide", (I88*EXP(0.072*G88)+35.15)/21.25, IF(Segments!$D$15="Ozone", (I88*EXP(0.068*G88)-0.01)/0.47, IF(Segments!$D$15="Chloramines", (I88*EXP(0.071*G88)+410.7)/849.5, 0)))))</f>
        <v>0</v>
      </c>
      <c r="K88" s="18">
        <f>IF(I88=0, 0,IF(Segments!$D$15="Chlorine", I88/(0.2828*F88^2.69*E88^0.15*0.933^(G88-5)), IF(Segments!$D$15="Chlorine Dioxide", ((I88*G88^0.49)+0.18)/23.85, IF(Segments!$D$15="Ozone", (I88*exp^(0.072*G88)-0.01)/0.98, IF(Segments!$D$15="Chloramines", (I88/(858.5-(24.3*G88))), 0)))))</f>
        <v>0</v>
      </c>
      <c r="L88" s="25">
        <f t="shared" ref="L88:L95" si="42">J88/4</f>
        <v>0</v>
      </c>
      <c r="M88" s="19">
        <f t="shared" ref="M88:M95" si="43">K88/3</f>
        <v>0</v>
      </c>
      <c r="O88" s="80"/>
      <c r="P88" s="3" t="str">
        <f>Segments!$C$15</f>
        <v>Flocculation</v>
      </c>
      <c r="Q88" s="33">
        <v>1600</v>
      </c>
      <c r="R88" s="33"/>
      <c r="S88" s="33">
        <v>1.5</v>
      </c>
      <c r="T88" s="33">
        <v>7.5</v>
      </c>
      <c r="U88" s="35">
        <v>15</v>
      </c>
      <c r="V88" s="28">
        <f>IF(Segments!$C$15="Not In Use",0, (IF(Segments!$F$15="Rectangular",Segments!$D$18*R88-Segments!$D$19, IF(Segments!$C$15="Pipe",Segments!$D$18,Segments!$D$18*R88))))</f>
        <v>0</v>
      </c>
      <c r="W88" s="31">
        <f>IF(Segments!$C$4="Not In Use", 0, IF(Q88=0,0,V88*S88/Q88))</f>
        <v>0</v>
      </c>
      <c r="X88" s="19">
        <f>IF(W88=0, 0,IF(Segments!$D$15="Chlorine", (W88*EXP(0.071*U88)-0.42)/2.94, IF(Segments!$D$15="Chlorine Dioxide", (W88*EXP(0.072*U88)+35.15)/21.25, IF(Segments!$D$15="Ozone", (W88*EXP(0.068*U88)-0.01)/0.47, IF(Segments!$D$15="Chloramines", (W88*EXP(0.071*U88)+410.7)/849.5, 0)))))</f>
        <v>0</v>
      </c>
      <c r="Y88" s="18">
        <f>IF(W88=0, 0,IF(Segments!$D$15="Chlorine", W88/(0.2828*T88^2.69*S88^0.15*0.933^(U88-5)), IF(Segments!$D$15="Chlorine Dioxide", ((W88*U88^0.49)+0.18)/23.85, IF(Segments!$D$15="Ozone", (W88*exp^(0.072*U88)-0.01)/0.98, IF(Segments!$D$15="Chloramines", (W88/(858.5-(24.3*U88))), 0)))))</f>
        <v>0</v>
      </c>
      <c r="Z88" s="25">
        <f t="shared" ref="Z88:Z95" si="44">X88/4</f>
        <v>0</v>
      </c>
      <c r="AA88" s="19">
        <f t="shared" ref="AA88:AA95" si="45">Y88/3</f>
        <v>0</v>
      </c>
    </row>
    <row r="89" spans="1:27" ht="13.5" thickBot="1" x14ac:dyDescent="0.25">
      <c r="A89" s="80"/>
      <c r="B89" s="3" t="str">
        <f>Segments!$C$26</f>
        <v>Sedimentation</v>
      </c>
      <c r="C89" s="33">
        <v>1400</v>
      </c>
      <c r="D89" s="33">
        <v>12</v>
      </c>
      <c r="E89" s="33">
        <v>0</v>
      </c>
      <c r="F89" s="33">
        <v>6.9</v>
      </c>
      <c r="G89" s="35">
        <v>19</v>
      </c>
      <c r="H89" s="28">
        <f>IF(Segments!$C$26="Not In Use",0, (IF(Segments!$F$26="Rectangular",Segments!$D$29*D89-Segments!$D$30, IF(Segments!$C$26="Pipe",Segments!$D$29,Segments!$D$29*D89))))</f>
        <v>0</v>
      </c>
      <c r="I89" s="31">
        <f>IF(Segments!$C$4="Not In Use", 0, IF(C89=0,0,H89*E89/C89))</f>
        <v>0</v>
      </c>
      <c r="J89" s="19">
        <f>IF(I89=0, 0,IF(Segments!$D$26="Chlorine", (I89*EXP(0.071*G89)-0.42)/2.94, IF(Segments!$D$26="Chlorine Dioxide", (I89*EXP(0.072*G89)+35.15)/21.25, IF(Segments!$D$26="Ozone", (I89*EXP(0.068*G89)-0.01)/0.47, IF(Segments!$D$26="Chloramines", (I89*EXP(0.071*G89)+410.7)/849.5, 0)))))</f>
        <v>0</v>
      </c>
      <c r="K89" s="18">
        <f>IF(I89=0, 0,IF(Segments!$D$26="Chlorine", I89/(0.2828*F89^2.69*E89^0.15*0.933^(G89-5)), IF(Segments!$D$26="Chlorine Dioxide", ((I89*G89^0.49)+0.18)/23.85, IF(Segments!$D$26="Ozone",((I89*EXP(0.072*G89)-0.01)/0.98),IF(Segments!$D$26="Chloramines", (I89/(858.5-(24.3*G89))), 0)))))</f>
        <v>0</v>
      </c>
      <c r="L89" s="25">
        <f t="shared" si="42"/>
        <v>0</v>
      </c>
      <c r="M89" s="19">
        <f t="shared" si="43"/>
        <v>0</v>
      </c>
      <c r="O89" s="80"/>
      <c r="P89" s="3" t="str">
        <f>Segments!$C$26</f>
        <v>Sedimentation</v>
      </c>
      <c r="Q89" s="33"/>
      <c r="R89" s="33"/>
      <c r="S89" s="33"/>
      <c r="T89" s="33"/>
      <c r="U89" s="35"/>
      <c r="V89" s="28">
        <f>IF(Segments!$C$26="Not In Use",0, (IF(Segments!$F$26="Rectangular",Segments!$D$29*R89-Segments!$D$30, IF(Segments!$C$26="Pipe",Segments!$D$29,Segments!$D$29*R89))))</f>
        <v>0</v>
      </c>
      <c r="W89" s="31">
        <f>IF(Segments!$C$4="Not In Use", 0, IF(Q89=0,0,V89*S89/Q89))</f>
        <v>0</v>
      </c>
      <c r="X89" s="19">
        <f>IF(W89=0, 0,IF(Segments!$D$26="Chlorine", (W89*EXP(0.071*U89)-0.42)/2.94, IF(Segments!$D$26="Chlorine Dioxide", (W89*EXP(0.072*U89)+35.15)/21.25, IF(Segments!$D$26="Ozone", (W89*EXP(0.068*U89)-0.01)/0.47, IF(Segments!$D$26="Chloramines", (W89*EXP(0.071*U89)+410.7)/849.5, 0)))))</f>
        <v>0</v>
      </c>
      <c r="Y89" s="18">
        <f>IF(W89=0, 0,IF(Segments!$D$26="Chlorine", W89/(0.2828*T89^2.69*S89^0.15*0.933^(U89-5)), IF(Segments!$D$26="Chlorine Dioxide", ((W89*U89^0.49)+0.18)/23.85, IF(Segments!$D$26="Ozone",((W89*EXP(0.072*U89)-0.01)/0.98),IF(Segments!$D$26="Chloramines", (W89/(858.5-(24.3*U89))), 0)))))</f>
        <v>0</v>
      </c>
      <c r="Z89" s="25">
        <f t="shared" si="44"/>
        <v>0</v>
      </c>
      <c r="AA89" s="19">
        <f t="shared" si="45"/>
        <v>0</v>
      </c>
    </row>
    <row r="90" spans="1:27" ht="13.5" thickBot="1" x14ac:dyDescent="0.25">
      <c r="A90" s="80"/>
      <c r="B90" s="3" t="str">
        <f>Segments!$C$39</f>
        <v>Filtration</v>
      </c>
      <c r="C90" s="33">
        <v>1400</v>
      </c>
      <c r="D90" s="33">
        <v>5</v>
      </c>
      <c r="E90" s="33">
        <v>0.5</v>
      </c>
      <c r="F90" s="33">
        <v>6.9</v>
      </c>
      <c r="G90" s="35">
        <v>19</v>
      </c>
      <c r="H90" s="28">
        <f>IF(Segments!$C$39="Not In Use",0, (IF(Segments!$F$39="Rectangular",Segments!$D$42*D90-Segments!$D$43, IF(Segments!$C$39="Pipe",Segments!$D$42,Segments!$D$42*D90))))</f>
        <v>13669.7</v>
      </c>
      <c r="I90" s="31">
        <f>IF(Segments!$C$4="Not In Use", 0, IF(C90=0,0,H90*E90/C90))</f>
        <v>4.8820357142857143</v>
      </c>
      <c r="J90" s="19">
        <f>IF(I90=0, 0,IF(Segments!$D$39="Chlorine", (I90*EXP(0.071*G90)-0.42)/2.94, IF(Segments!$D$39="Chlorine Dioxide", (I90*EXP(0.072*G90)+35.15)/21.25, IF(Segments!$D$39="Ozone", (I90*EXP(0.068*G90)-0.01)/0.47, IF(Segments!$D$39="Chloramines", (I90*EXP(0.071*G90)+410.7)/849.5, 0)))))</f>
        <v>6.2562131053608159</v>
      </c>
      <c r="K90" s="18">
        <f>IF(I90=0, 0,IF(Segments!$D$39="Chlorine", I90/(0.2828*F90^2.69*E90^0.15*0.933^(G90-5)), IF(Segments!$D$39="Chlorine Dioxide", ((I90*G90^0.49)+0.18)/23.85, IF(Segments!$D$39="Ozone", (I90*EXP(0.072*G90)-0.01)/0.98, IF(Segments!$D$39="Chloramines", (I90/(858.5-(24.3*G90))), 0)))))</f>
        <v>0.28017474145721827</v>
      </c>
      <c r="L90" s="25">
        <f t="shared" si="42"/>
        <v>1.564053276340204</v>
      </c>
      <c r="M90" s="19">
        <f t="shared" si="43"/>
        <v>9.3391580485739423E-2</v>
      </c>
      <c r="O90" s="80"/>
      <c r="P90" s="3" t="str">
        <f>Segments!$C$39</f>
        <v>Filtration</v>
      </c>
      <c r="Q90" s="33"/>
      <c r="R90" s="33"/>
      <c r="S90" s="33"/>
      <c r="T90" s="33"/>
      <c r="U90" s="35"/>
      <c r="V90" s="28">
        <f>IF(Segments!$C$39="Not In Use",0, (IF(Segments!$F$39="Rectangular",Segments!$D$42*R90-Segments!$D$43, IF(Segments!$C$39="Pipe",Segments!$D$42,Segments!$D$42*R90))))</f>
        <v>0</v>
      </c>
      <c r="W90" s="31">
        <f>IF(Segments!$C$4="Not In Use", 0, IF(Q90=0,0,V90*S90/Q90))</f>
        <v>0</v>
      </c>
      <c r="X90" s="19">
        <f>IF(W90=0, 0,IF(Segments!$D$39="Chlorine", (W90*EXP(0.071*U90)-0.42)/2.94, IF(Segments!$D$39="Chlorine Dioxide", (W90*EXP(0.072*U90)+35.15)/21.25, IF(Segments!$D$39="Ozone", (W90*EXP(0.068*U90)-0.01)/0.47, IF(Segments!$D$39="Chloramines", (W90*EXP(0.071*U90)+410.7)/849.5, 0)))))</f>
        <v>0</v>
      </c>
      <c r="Y90" s="18">
        <f>IF(W90=0, 0,IF(Segments!$D$39="Chlorine", W90/(0.2828*T90^2.69*S90^0.15*0.933^(U90-5)), IF(Segments!$D$39="Chlorine Dioxide", ((W90*U90^0.49)+0.18)/23.85, IF(Segments!$D$39="Ozone", (W90*EXP(0.072*U90)-0.01)/0.98, IF(Segments!$D$39="Chloramines", (W90/(858.5-(24.3*U90))), 0)))))</f>
        <v>0</v>
      </c>
      <c r="Z90" s="25">
        <f t="shared" si="44"/>
        <v>0</v>
      </c>
      <c r="AA90" s="19">
        <f t="shared" si="45"/>
        <v>0</v>
      </c>
    </row>
    <row r="91" spans="1:27" ht="13.5" thickBot="1" x14ac:dyDescent="0.25">
      <c r="A91" s="80"/>
      <c r="B91" s="3" t="str">
        <f>Segments!$C$50</f>
        <v>Clearwell</v>
      </c>
      <c r="C91" s="33">
        <v>1400</v>
      </c>
      <c r="D91" s="33">
        <v>10</v>
      </c>
      <c r="E91" s="33">
        <v>1.5</v>
      </c>
      <c r="F91" s="33">
        <v>7</v>
      </c>
      <c r="G91" s="35">
        <v>19</v>
      </c>
      <c r="H91" s="28">
        <f>IF(Segments!$C$50="Not In Use",0, (IF(Segments!$F$50="Rectangular",Segments!$D$53*D91-Segments!$D$54, IF(Segments!$C$50="Pipe",Segments!$D$53,Segments!$D$53*D91))))</f>
        <v>99184.800000000017</v>
      </c>
      <c r="I91" s="31">
        <f>IF(Segments!$C$4="Not In Use", 0, IF(C91=0,0,H91*E91/C91))</f>
        <v>106.26942857142858</v>
      </c>
      <c r="J91" s="19">
        <f>IF(I91=0, 0,IF(Segments!$D$50="Chlorine", (I91*EXP(0.071*G91)-0.42)/2.94, IF(Segments!$D$50="Chlorine Dioxide", (I91*EXP(0.072*G91)+35.15)/21.25, IF(Segments!$D$50="Ozone", (I91*EXP(0.068*G91)-0.01)/0.47, IF(Segments!$D$50="Chloramines", (I91*EXP(0.071*G91)+410.7)/849.5, 0)))))</f>
        <v>139.14853244625934</v>
      </c>
      <c r="K91" s="18">
        <f>IF(I91=0, 0,IF(Segments!$D$50="Chlorine", I91/(0.2828*F91^2.69*E91^0.15*0.933^(G91-5)), IF(Segments!$D$50="Chlorine Dioxide", ((I91*G91^0.49)+0.18)/23.85, IF(Segments!$D$50="Ozone", (I91*EXP(0.072*G91)-0.01)/0.98, IF(Segments!$D$50="Chloramines", (I91/(858.5-(24.3*G91))), 0)))))</f>
        <v>4.9757495366863838</v>
      </c>
      <c r="L91" s="25">
        <f t="shared" si="42"/>
        <v>34.787133111564835</v>
      </c>
      <c r="M91" s="19">
        <f t="shared" si="43"/>
        <v>1.6585831788954613</v>
      </c>
      <c r="O91" s="80"/>
      <c r="P91" s="3" t="str">
        <f>Segments!$C$50</f>
        <v>Clearwell</v>
      </c>
      <c r="Q91" s="33"/>
      <c r="R91" s="33"/>
      <c r="S91" s="33"/>
      <c r="T91" s="33"/>
      <c r="U91" s="35"/>
      <c r="V91" s="28">
        <f>IF(Segments!$C$50="Not In Use",0, (IF(Segments!$F$50="Rectangular",Segments!$D$53*R91-Segments!$D$54, IF(Segments!$C$50="Pipe",Segments!$D$53,Segments!$D$53*R91))))</f>
        <v>0</v>
      </c>
      <c r="W91" s="31">
        <f>IF(Segments!$C$4="Not In Use", 0, IF(Q91=0,0,V91*S91/Q91))</f>
        <v>0</v>
      </c>
      <c r="X91" s="19">
        <f>IF(W91=0, 0,IF(Segments!$D$50="Chlorine", (W91*EXP(0.071*U91)-0.42)/2.94, IF(Segments!$D$50="Chlorine Dioxide", (W91*EXP(0.072*U91)+35.15)/21.25, IF(Segments!$D$50="Ozone", (W91*EXP(0.068*U91)-0.01)/0.47, IF(Segments!$D$50="Chloramines", (W91*EXP(0.071*U91)+410.7)/849.5, 0)))))</f>
        <v>0</v>
      </c>
      <c r="Y91" s="18">
        <f>IF(W91=0, 0,IF(Segments!$D$50="Chlorine", W91/(0.2828*T91^2.69*S91^0.15*0.933^(U91-5)), IF(Segments!$D$50="Chlorine Dioxide", ((W91*U91^0.49)+0.18)/23.85, IF(Segments!$D$50="Ozone", (W91*EXP(0.072*U91)-0.01)/0.98, IF(Segments!$D$50="Chloramines", (W91/(858.5-(24.3*U91))), 0)))))</f>
        <v>0</v>
      </c>
      <c r="Z91" s="25">
        <f t="shared" si="44"/>
        <v>0</v>
      </c>
      <c r="AA91" s="19">
        <f t="shared" si="45"/>
        <v>0</v>
      </c>
    </row>
    <row r="92" spans="1:27" ht="13.5" thickBot="1" x14ac:dyDescent="0.25">
      <c r="A92" s="80"/>
      <c r="B92" s="3" t="str">
        <f>Segments!$C$61</f>
        <v>Not In Use</v>
      </c>
      <c r="C92" s="33"/>
      <c r="D92" s="33"/>
      <c r="E92" s="33"/>
      <c r="F92" s="33"/>
      <c r="G92" s="35"/>
      <c r="H92" s="28">
        <f>IF(Segments!$C$61="Not In Use",0, (IF(Segments!$F$61="Rectangular",Segments!$D$64*D92-Segments!$D$65, IF(Segments!$C$61="Pipe",Segments!$D$64,Segments!$D$64*D92))))</f>
        <v>0</v>
      </c>
      <c r="I92" s="31">
        <f>IF(Segments!$C$4="Not In Use", 0, IF(C92=0,0,H92*E92/C92))</f>
        <v>0</v>
      </c>
      <c r="J92" s="19">
        <f>IF(I92=0, 0,IF(Segments!$D$61="Chlorine", (I92*EXP(0.071*G92)-0.42)/2.94, IF(Segments!$D$61="Chlorine Dioxide", (I92*EXP(0.072*G92)+35.15)/21.25, IF(Segments!$D$61="Ozone", (I92*EXP(0.068*G92)-0.01)/0.47, IF(Segments!$D$61="Chloramines", (I92*EXP(0.071*G92)+410.7)/849.5, 0)))))</f>
        <v>0</v>
      </c>
      <c r="K92" s="18">
        <f>IF(I92=0, 0,IF(Segments!$D$61="Chlorine", I92/(0.2828*F92^2.69*E92^0.15*0.933^(G92-5)), IF(Segments!$D$61="Chlorine Dioxide", ((I92*G92^0.49)+0.18)/23.85, IF(Segments!$D$61="Ozone", (I92*EXP(0.072*G92)-0.01)/0.98, IF(Segments!$D$61="Chloramines", (I92/(858.5-(24.3*G92))), 0)))))</f>
        <v>0</v>
      </c>
      <c r="L92" s="25">
        <f t="shared" si="42"/>
        <v>0</v>
      </c>
      <c r="M92" s="19">
        <f t="shared" si="43"/>
        <v>0</v>
      </c>
      <c r="O92" s="80"/>
      <c r="P92" s="3" t="str">
        <f>Segments!$C$61</f>
        <v>Not In Use</v>
      </c>
      <c r="Q92" s="33"/>
      <c r="R92" s="33"/>
      <c r="S92" s="33"/>
      <c r="T92" s="33"/>
      <c r="U92" s="35"/>
      <c r="V92" s="28">
        <f>IF(Segments!$C$61="Not In Use",0, (IF(Segments!$F$61="Rectangular",Segments!$D$64*R92-Segments!$D$65, IF(Segments!$C$61="Pipe",Segments!$D$64,Segments!$D$64*R92))))</f>
        <v>0</v>
      </c>
      <c r="W92" s="31">
        <f>IF(Segments!$C$4="Not In Use", 0, IF(Q92=0,0,V92*S92/Q92))</f>
        <v>0</v>
      </c>
      <c r="X92" s="19">
        <f>IF(W92=0, 0,IF(Segments!$D$61="Chlorine", (W92*EXP(0.071*U92)-0.42)/2.94, IF(Segments!$D$61="Chlorine Dioxide", (W92*EXP(0.072*U92)+35.15)/21.25, IF(Segments!$D$61="Ozone", (W92*EXP(0.068*U92)-0.01)/0.47, IF(Segments!$D$61="Chloramines", (W92*EXP(0.071*U92)+410.7)/849.5, 0)))))</f>
        <v>0</v>
      </c>
      <c r="Y92" s="18">
        <f>IF(W92=0, 0,IF(Segments!$D$61="Chlorine", W92/(0.2828*T92^2.69*S92^0.15*0.933^(U92-5)), IF(Segments!$D$61="Chlorine Dioxide", ((W92*U92^0.49)+0.18)/23.85, IF(Segments!$D$61="Ozone", (W92*EXP(0.072*U92)-0.01)/0.98, IF(Segments!$D$61="Chloramines", (W92/(858.5-(24.3*U92))), 0)))))</f>
        <v>0</v>
      </c>
      <c r="Z92" s="25">
        <f t="shared" si="44"/>
        <v>0</v>
      </c>
      <c r="AA92" s="19">
        <f t="shared" si="45"/>
        <v>0</v>
      </c>
    </row>
    <row r="93" spans="1:27" ht="13.5" thickBot="1" x14ac:dyDescent="0.25">
      <c r="A93" s="80"/>
      <c r="B93" s="3" t="str">
        <f>Segments!$C$74</f>
        <v>Not In Use</v>
      </c>
      <c r="C93" s="33"/>
      <c r="D93" s="33"/>
      <c r="E93" s="33"/>
      <c r="F93" s="33"/>
      <c r="G93" s="35"/>
      <c r="H93" s="28">
        <f>IF(Segments!$C$74="Not In Use",0, (IF(Segments!$F$74="Rectangular",Segments!$D$77*D93-Segments!$D$78, IF(Segments!$C$74="Pipe",Segments!$D$77,Segments!$D$77*D93))))</f>
        <v>0</v>
      </c>
      <c r="I93" s="31">
        <f>IF(Segments!$C$4="Not In Use", 0, IF(C93=0,0,H93*E93/C93))</f>
        <v>0</v>
      </c>
      <c r="J93" s="19">
        <f>IF(I93=0, 0,IF(Segments!$D$74="Chlorine", (I93*EXP(0.071*G93)-0.42)/2.94, IF(Segments!$D$74="Chlorine Dioxide", (I93*EXP(0.072*G93)+35.15)/21.25, IF(Segments!$D$74="Ozone", (I93*EXP(0.068*G93)-0.01)/0.47, IF(Segments!$D$74="Chloramines", (I93*EXP(0.071*G93)+410.7)/849.5, 0)))))</f>
        <v>0</v>
      </c>
      <c r="K93" s="18">
        <f>IF(I93=0, 0,IF(Segments!$D$74="Chlorine", I93/(0.2828*F93^2.69*E93^0.15*0.933^(G93-5)), IF(Segments!$D$74="Chlorine Dioxide", ((I93*G93^0.49)+0.18)/23.85, IF(Segments!$D$74="Ozone", (I93*EXP(0.072*G93)-0.01)/0.98, IF(Segments!$D$74="Chloramines", (I93/(858.5-(24.3*G93))), 0)))))</f>
        <v>0</v>
      </c>
      <c r="L93" s="25">
        <f t="shared" si="42"/>
        <v>0</v>
      </c>
      <c r="M93" s="19">
        <f t="shared" si="43"/>
        <v>0</v>
      </c>
      <c r="O93" s="80"/>
      <c r="P93" s="3" t="str">
        <f>Segments!$C$74</f>
        <v>Not In Use</v>
      </c>
      <c r="Q93" s="33"/>
      <c r="R93" s="33"/>
      <c r="S93" s="33"/>
      <c r="T93" s="33"/>
      <c r="U93" s="35"/>
      <c r="V93" s="28">
        <f>IF(Segments!$C$74="Not In Use",0, (IF(Segments!$F$74="Rectangular",Segments!$D$77*R93-Segments!$D$78, IF(Segments!$C$74="Pipe",Segments!$D$77,Segments!$D$77*R93))))</f>
        <v>0</v>
      </c>
      <c r="W93" s="31">
        <f>IF(Segments!$C$4="Not In Use", 0, IF(Q93=0,0,V93*S93/Q93))</f>
        <v>0</v>
      </c>
      <c r="X93" s="19">
        <f>IF(W93=0, 0,IF(Segments!$D$74="Chlorine", (W93*EXP(0.071*U93)-0.42)/2.94, IF(Segments!$D$74="Chlorine Dioxide", (W93*EXP(0.072*U93)+35.15)/21.25, IF(Segments!$D$74="Ozone", (W93*EXP(0.068*U93)-0.01)/0.47, IF(Segments!$D$74="Chloramines", (W93*EXP(0.071*U93)+410.7)/849.5, 0)))))</f>
        <v>0</v>
      </c>
      <c r="Y93" s="18">
        <f>IF(W93=0, 0,IF(Segments!$D$74="Chlorine", W93/(0.2828*T93^2.69*S93^0.15*0.933^(U93-5)), IF(Segments!$D$74="Chlorine Dioxide", ((W93*U93^0.49)+0.18)/23.85, IF(Segments!$D$74="Ozone", (W93*EXP(0.072*U93)-0.01)/0.98, IF(Segments!$D$74="Chloramines", (W93/(858.5-(24.3*U93))), 0)))))</f>
        <v>0</v>
      </c>
      <c r="Z93" s="25">
        <f t="shared" si="44"/>
        <v>0</v>
      </c>
      <c r="AA93" s="19">
        <f t="shared" si="45"/>
        <v>0</v>
      </c>
    </row>
    <row r="94" spans="1:27" ht="13.5" thickBot="1" x14ac:dyDescent="0.25">
      <c r="A94" s="80"/>
      <c r="B94" s="3" t="str">
        <f>Segments!$C$85</f>
        <v>Not In Use</v>
      </c>
      <c r="C94" s="33"/>
      <c r="D94" s="33"/>
      <c r="E94" s="33"/>
      <c r="F94" s="33"/>
      <c r="G94" s="35"/>
      <c r="H94" s="28">
        <f>IF(Segments!$C$85="Not In Use",0, (IF(Segments!$F$85="Rectangular",Segments!$D$88*D94-Segments!$D$89, IF(Segments!$C$85="Pipe",Segments!$D$88,Segments!$D$88*D94))))</f>
        <v>0</v>
      </c>
      <c r="I94" s="31">
        <f>IF(Segments!$C$4="Not In Use", 0, IF(C94=0,0,H94*E94/C94))</f>
        <v>0</v>
      </c>
      <c r="J94" s="19">
        <f>IF(I94=0, 0,IF(Segments!$D$85="Chlorine", (I94*EXP(0.071*G94)-0.42)/2.94, IF(Segments!$D$85="Chlorine Dioxide", (I94*EXP(0.072*G94)+35.15)/21.25, IF(Segments!$D$85="Ozone", (I94*EXP(0.068*G94)-0.01)/0.47, IF(Segments!$D$85="Chloramines", (I94*EXP(0.071*G94)+410.7)/849.5, 0)))))</f>
        <v>0</v>
      </c>
      <c r="K94" s="18">
        <f>IF(I94=0, 0,IF(Segments!$D$85="Chlorine", I94/(0.2828*F94^2.69*E94^0.15*0.933^(G94-5)), IF(Segments!$D$85="Chlorine Dioxide", ((I94*G94^0.49)+0.18)/23.85, IF(Segments!$D$85="Ozone", (I94*EXP(0.072*G94)-0.01)/0.98, IF(Segments!$D$85="Chloramines", (I94/(858.5-(24.3*G94))), 0)))))</f>
        <v>0</v>
      </c>
      <c r="L94" s="25">
        <f t="shared" si="42"/>
        <v>0</v>
      </c>
      <c r="M94" s="19">
        <f t="shared" si="43"/>
        <v>0</v>
      </c>
      <c r="O94" s="80"/>
      <c r="P94" s="3" t="str">
        <f>Segments!$C$85</f>
        <v>Not In Use</v>
      </c>
      <c r="Q94" s="33"/>
      <c r="R94" s="33"/>
      <c r="S94" s="33"/>
      <c r="T94" s="33"/>
      <c r="U94" s="35"/>
      <c r="V94" s="28">
        <f>IF(Segments!$C$85="Not In Use",0, (IF(Segments!$F$85="Rectangular",Segments!$D$88*R94-Segments!$D$89, IF(Segments!$C$85="Pipe",Segments!$D$88,Segments!$D$88*R94))))</f>
        <v>0</v>
      </c>
      <c r="W94" s="31">
        <f>IF(Segments!$C$4="Not In Use", 0, IF(Q94=0,0,V94*S94/Q94))</f>
        <v>0</v>
      </c>
      <c r="X94" s="19">
        <f>IF(W94=0, 0,IF(Segments!$D$85="Chlorine", (W94*EXP(0.071*U94)-0.42)/2.94, IF(Segments!$D$85="Chlorine Dioxide", (W94*EXP(0.072*U94)+35.15)/21.25, IF(Segments!$D$85="Ozone", (W94*EXP(0.068*U94)-0.01)/0.47, IF(Segments!$D$85="Chloramines", (W94*EXP(0.071*U94)+410.7)/849.5, 0)))))</f>
        <v>0</v>
      </c>
      <c r="Y94" s="18">
        <f>IF(W94=0, 0,IF(Segments!$D$85="Chlorine", W94/(0.2828*T94^2.69*S94^0.15*0.933^(U94-5)), IF(Segments!$D$85="Chlorine Dioxide", ((W94*U94^0.49)+0.18)/23.85, IF(Segments!$D$85="Ozone", (W94*EXP(0.072*U94)-0.01)/0.98, IF(Segments!$D$85="Chloramines", (W94/(858.5-(24.3*U94))), 0)))))</f>
        <v>0</v>
      </c>
      <c r="Z94" s="25">
        <f t="shared" si="44"/>
        <v>0</v>
      </c>
      <c r="AA94" s="19">
        <f t="shared" si="45"/>
        <v>0</v>
      </c>
    </row>
    <row r="95" spans="1:27" ht="13.5" thickBot="1" x14ac:dyDescent="0.25">
      <c r="A95" s="80"/>
      <c r="B95" s="3" t="str">
        <f>Segments!$C$96</f>
        <v>Not In Use</v>
      </c>
      <c r="C95" s="36"/>
      <c r="D95" s="36"/>
      <c r="E95" s="36"/>
      <c r="F95" s="36"/>
      <c r="G95" s="34"/>
      <c r="H95" s="29">
        <f>IF(Segments!$C$96="Not In Use",0, (IF(Segments!$F$96="Rectangular",Segments!$D$99*D95-Segments!$D$100, IF(Segments!$C$96="Pipe",Segments!$D$99,Segments!$D$99*D95))))</f>
        <v>0</v>
      </c>
      <c r="I95" s="32">
        <f>IF(Segments!$C$4="Not In Use", 0, IF(C95=0,0,H95*E95/C95))</f>
        <v>0</v>
      </c>
      <c r="J95" s="19">
        <f>IF(I95=0, 0,IF(Segments!$D$96="Chlorine", (I95*EXP(0.071*G95)-0.42)/2.94, IF(Segments!$D$96="Chlorine Dioxide", (I95*EXP(0.072*G95)+35.15)/21.25, IF(Segments!$D$96="Ozone", (I95*EXP(0.068*G95)-0.01)/0.47, IF(Segments!$D$96="Chloramines", (I95*EXP(0.071*G95)+410.7)/849.5, 0)))))</f>
        <v>0</v>
      </c>
      <c r="K95" s="18">
        <f>IF(I95=0, 0,IF(Segments!$D$96="Chlorine", I95/(0.2828*F95^2.69*E95^0.15*0.933^(G95-5)), IF(Segments!$D$96="Chlorine Dioxide", ((I95*G95^0.49)+0.18)/23.85, IF(Segments!$D$96="Ozone", (I95*EXP(0.072*G95)-0.01)/0.98, IF(Segments!$D$96="Chloramines", (I95/(858.5-(24.3*G95))), 0)))))</f>
        <v>0</v>
      </c>
      <c r="L95" s="25">
        <f t="shared" si="42"/>
        <v>0</v>
      </c>
      <c r="M95" s="19">
        <f t="shared" si="43"/>
        <v>0</v>
      </c>
      <c r="O95" s="80"/>
      <c r="P95" s="3" t="str">
        <f>Segments!$C$96</f>
        <v>Not In Use</v>
      </c>
      <c r="Q95" s="36"/>
      <c r="R95" s="36"/>
      <c r="S95" s="36"/>
      <c r="T95" s="36"/>
      <c r="U95" s="34"/>
      <c r="V95" s="29">
        <f>IF(Segments!$C$96="Not In Use",0, (IF(Segments!$F$96="Rectangular",Segments!$D$99*R95-Segments!$D$100, IF(Segments!$C$96="Pipe",Segments!$D$99,Segments!$D$99*R95))))</f>
        <v>0</v>
      </c>
      <c r="W95" s="32">
        <f>IF(Segments!$C$4="Not In Use", 0, IF(Q95=0,0,V95*S95/Q95))</f>
        <v>0</v>
      </c>
      <c r="X95" s="19">
        <f>IF(W95=0, 0,IF(Segments!$D$96="Chlorine", (W95*EXP(0.071*U95)-0.42)/2.94, IF(Segments!$D$96="Chlorine Dioxide", (W95*EXP(0.072*U95)+35.15)/21.25, IF(Segments!$D$96="Ozone", (W95*EXP(0.068*U95)-0.01)/0.47, IF(Segments!$D$96="Chloramines", (W95*EXP(0.071*U95)+410.7)/849.5, 0)))))</f>
        <v>0</v>
      </c>
      <c r="Y95" s="18">
        <f>IF(W95=0, 0,IF(Segments!$D$96="Chlorine", W95/(0.2828*T95^2.69*S95^0.15*0.933^(U95-5)), IF(Segments!$D$96="Chlorine Dioxide", ((W95*U95^0.49)+0.18)/23.85, IF(Segments!$D$96="Ozone", (W95*EXP(0.072*U95)-0.01)/0.98, IF(Segments!$D$96="Chloramines", (W95/(858.5-(24.3*U95))), 0)))))</f>
        <v>0</v>
      </c>
      <c r="Z95" s="25">
        <f t="shared" si="44"/>
        <v>0</v>
      </c>
      <c r="AA95" s="19">
        <f t="shared" si="45"/>
        <v>0</v>
      </c>
    </row>
    <row r="96" spans="1:27" ht="13.5" thickBot="1" x14ac:dyDescent="0.25">
      <c r="A96" s="81"/>
      <c r="B96" s="22" t="s">
        <v>42</v>
      </c>
      <c r="C96" s="23"/>
      <c r="D96" s="23"/>
      <c r="E96" s="23"/>
      <c r="F96" s="23"/>
      <c r="G96" s="23"/>
      <c r="H96" s="26"/>
      <c r="I96" s="50">
        <f>SUM(I87:I95)</f>
        <v>112.09274214285715</v>
      </c>
      <c r="J96" s="50">
        <f>SUM(J87:J95)</f>
        <v>146.49565716496525</v>
      </c>
      <c r="K96" s="50">
        <f>SUM(K87:K95)</f>
        <v>5.3142450391756331</v>
      </c>
      <c r="L96" s="50">
        <f>SUM(L87:L95)</f>
        <v>36.623914291241313</v>
      </c>
      <c r="M96" s="50">
        <f>SUM(M87:M95)</f>
        <v>1.7714150130585442</v>
      </c>
      <c r="O96" s="81"/>
      <c r="P96" s="22" t="s">
        <v>42</v>
      </c>
      <c r="Q96" s="23"/>
      <c r="R96" s="23"/>
      <c r="S96" s="23"/>
      <c r="T96" s="23"/>
      <c r="U96" s="23"/>
      <c r="V96" s="26"/>
      <c r="W96" s="50">
        <f>SUM(W87:W95)</f>
        <v>3.9007469531250005</v>
      </c>
      <c r="X96" s="50">
        <f>SUM(X87:X95)</f>
        <v>3.7059315743458638</v>
      </c>
      <c r="Y96" s="50">
        <f>SUM(Y87:Y95)</f>
        <v>0.11438982144797637</v>
      </c>
      <c r="Z96" s="50">
        <f>SUM(Z87:Z95)</f>
        <v>0.92648289358646596</v>
      </c>
      <c r="AA96" s="50">
        <f>SUM(AA87:AA95)</f>
        <v>3.8129940482658789E-2</v>
      </c>
    </row>
    <row r="97" spans="1:27" ht="6.75" customHeight="1" thickBot="1" x14ac:dyDescent="0.25">
      <c r="A97" s="15"/>
      <c r="B97" s="15"/>
      <c r="C97" s="15"/>
      <c r="D97" s="15"/>
      <c r="E97" s="15"/>
      <c r="F97" s="15"/>
      <c r="G97" s="15"/>
      <c r="H97" s="15"/>
      <c r="I97" s="15"/>
      <c r="J97" s="15"/>
      <c r="K97" s="15"/>
      <c r="L97" s="15"/>
      <c r="M97" s="15"/>
      <c r="O97" s="15"/>
      <c r="P97" s="15"/>
      <c r="Q97" s="15"/>
      <c r="R97" s="15"/>
      <c r="S97" s="15"/>
      <c r="T97" s="15"/>
      <c r="U97" s="15"/>
      <c r="V97" s="15"/>
      <c r="W97" s="15"/>
      <c r="X97" s="15"/>
      <c r="Y97" s="15"/>
      <c r="Z97" s="15"/>
      <c r="AA97" s="15"/>
    </row>
    <row r="98" spans="1:27" ht="51.75" customHeight="1" thickBot="1" x14ac:dyDescent="0.25">
      <c r="A98" s="79" t="s">
        <v>57</v>
      </c>
      <c r="B98" s="6" t="s">
        <v>23</v>
      </c>
      <c r="C98" s="16" t="s">
        <v>83</v>
      </c>
      <c r="D98" s="6" t="s">
        <v>38</v>
      </c>
      <c r="E98" s="16" t="s">
        <v>45</v>
      </c>
      <c r="F98" s="16" t="s">
        <v>6</v>
      </c>
      <c r="G98" s="16" t="s">
        <v>37</v>
      </c>
      <c r="H98" s="16" t="s">
        <v>35</v>
      </c>
      <c r="I98" s="16" t="s">
        <v>46</v>
      </c>
      <c r="J98" s="16" t="s">
        <v>39</v>
      </c>
      <c r="K98" s="16" t="s">
        <v>40</v>
      </c>
      <c r="L98" s="16" t="s">
        <v>41</v>
      </c>
      <c r="M98" s="17" t="s">
        <v>36</v>
      </c>
      <c r="O98" s="79" t="s">
        <v>64</v>
      </c>
      <c r="P98" s="6" t="s">
        <v>23</v>
      </c>
      <c r="Q98" s="16" t="s">
        <v>83</v>
      </c>
      <c r="R98" s="6" t="s">
        <v>38</v>
      </c>
      <c r="S98" s="16" t="s">
        <v>45</v>
      </c>
      <c r="T98" s="16" t="s">
        <v>6</v>
      </c>
      <c r="U98" s="16" t="s">
        <v>37</v>
      </c>
      <c r="V98" s="16" t="s">
        <v>35</v>
      </c>
      <c r="W98" s="16" t="s">
        <v>46</v>
      </c>
      <c r="X98" s="16" t="s">
        <v>39</v>
      </c>
      <c r="Y98" s="16" t="s">
        <v>40</v>
      </c>
      <c r="Z98" s="16" t="s">
        <v>41</v>
      </c>
      <c r="AA98" s="17" t="s">
        <v>36</v>
      </c>
    </row>
    <row r="99" spans="1:27" ht="13.5" thickBot="1" x14ac:dyDescent="0.25">
      <c r="A99" s="80"/>
      <c r="B99" s="3" t="str">
        <f>Segments!$C$4</f>
        <v>Rapid Mix</v>
      </c>
      <c r="C99" s="34">
        <v>1400</v>
      </c>
      <c r="D99" s="33">
        <v>10</v>
      </c>
      <c r="E99" s="33">
        <v>1.5</v>
      </c>
      <c r="F99" s="33">
        <v>7.5</v>
      </c>
      <c r="G99" s="35">
        <v>15</v>
      </c>
      <c r="H99" s="27">
        <f>IF(Segments!$C$4="Not In Use",0, (IF(Segments!$F$4="Rectangular",Segments!$D$7*D99-Segments!$D$8, IF(Segments!$C$4="Pipe",Segments!$D$7,Segments!$D$7*D99))))</f>
        <v>3660.5250000000001</v>
      </c>
      <c r="I99" s="30">
        <f>IF(Segments!$C$4="Not In Use", 0, IF(C99=0,0,H99*E99/C99))</f>
        <v>3.9219910714285717</v>
      </c>
      <c r="J99" s="21">
        <f>IF(I99=0, 0,IF(Segments!$D$4="Chlorine", (I99*EXP(0.071*G99)-0.42)/2.94, IF(Segments!$D$4="Chlorine Dioxide", (I99*EXP(0.072*G99)+35.15)/21.25, IF(Segments!$D$4="Ozone", (I99*EXP(0.068*G99)-0.01)/0.47, IF(Segments!$D$4="Chloramines", (I99*EXP(0.071*G99)+410.7)/849.5, 0)))))</f>
        <v>3.7268927194332697</v>
      </c>
      <c r="K99" s="20">
        <f>IF(I99=0, 0,IF(Segments!$D$4="Chlorine", I99/(0.2828*F99^2.69*E99^0.15*0.933^(G99-5)), IF(Segments!$D$4="Chlorine Dioxide", ((I99*G99^0.49)+0.18)/23.85, IF(Segments!$D$4="Ozone", (I99*EXP(0.072*G99)-0.01)/0.98, IF(Segments!$D$4="Chloramines", (I99/(858.5-(24.3*G99))), 0)))))</f>
        <v>0.11557988836844089</v>
      </c>
      <c r="L99" s="24">
        <f>J99/4</f>
        <v>0.93172317985831743</v>
      </c>
      <c r="M99" s="21">
        <f>K99/3</f>
        <v>3.8526629456146967E-2</v>
      </c>
      <c r="O99" s="80"/>
      <c r="P99" s="3" t="str">
        <f>Segments!$C$4</f>
        <v>Rapid Mix</v>
      </c>
      <c r="Q99" s="34">
        <v>800</v>
      </c>
      <c r="R99" s="33">
        <v>12</v>
      </c>
      <c r="S99" s="33">
        <v>1.4</v>
      </c>
      <c r="T99" s="33">
        <v>7.5</v>
      </c>
      <c r="U99" s="35">
        <v>10</v>
      </c>
      <c r="V99" s="27">
        <f>IF(Segments!$C$4="Not In Use",0, (IF(Segments!$F$4="Rectangular",Segments!$D$7*R99-Segments!$D$8, IF(Segments!$C$4="Pipe",Segments!$D$7,Segments!$D$7*R99))))</f>
        <v>4392.63</v>
      </c>
      <c r="W99" s="30">
        <f>IF(Segments!$C$4="Not In Use", 0, IF(Q99=0,0,V99*S99/Q99))</f>
        <v>7.6871024999999999</v>
      </c>
      <c r="X99" s="21">
        <f>IF(W99=0, 0,IF(Segments!$D$4="Chlorine", (W99*EXP(0.071*U99)-0.42)/2.94, IF(Segments!$D$4="Chlorine Dioxide", (W99*EXP(0.072*U99)+35.15)/21.25, IF(Segments!$D$4="Ozone", (W99*EXP(0.068*U99)-0.01)/0.47, IF(Segments!$D$4="Chloramines", (W99*EXP(0.071*U99)+410.7)/849.5, 0)))))</f>
        <v>5.1753398943270694</v>
      </c>
      <c r="Y99" s="20">
        <f>IF(W99=0, 0,IF(Segments!$D$4="Chlorine", W99/(0.2828*T99^2.69*S99^0.15*0.933^(U99-5)), IF(Segments!$D$4="Chlorine Dioxide", ((W99*U99^0.49)+0.18)/23.85, IF(Segments!$D$4="Ozone", (W99*EXP(0.072*U99)-0.01)/0.98, IF(Segments!$D$4="Chloramines", (W99/(858.5-(24.3*U99))), 0)))))</f>
        <v>0.16182329662462355</v>
      </c>
      <c r="Z99" s="24">
        <f>X99/4</f>
        <v>1.2938349735817674</v>
      </c>
      <c r="AA99" s="21">
        <f>Y99/3</f>
        <v>5.394109887487452E-2</v>
      </c>
    </row>
    <row r="100" spans="1:27" ht="13.5" thickBot="1" x14ac:dyDescent="0.25">
      <c r="A100" s="80"/>
      <c r="B100" s="3" t="str">
        <f>Segments!$C$15</f>
        <v>Flocculation</v>
      </c>
      <c r="C100" s="33">
        <v>1400</v>
      </c>
      <c r="D100" s="33"/>
      <c r="E100" s="33">
        <v>1.4</v>
      </c>
      <c r="F100" s="33">
        <v>7.5</v>
      </c>
      <c r="G100" s="35">
        <v>15</v>
      </c>
      <c r="H100" s="28">
        <f>IF(Segments!$C$15="Not In Use",0, (IF(Segments!$F$15="Rectangular",Segments!$D$18*D100-Segments!$D$19, IF(Segments!$C$15="Pipe",Segments!$D$18,Segments!$D$18*D100))))</f>
        <v>0</v>
      </c>
      <c r="I100" s="31">
        <f>IF(Segments!$C$4="Not In Use", 0, IF(C100=0,0,H100*E100/C100))</f>
        <v>0</v>
      </c>
      <c r="J100" s="19">
        <f>IF(I100=0, 0,IF(Segments!$D$15="Chlorine", (I100*EXP(0.071*G100)-0.42)/2.94, IF(Segments!$D$15="Chlorine Dioxide", (I100*EXP(0.072*G100)+35.15)/21.25, IF(Segments!$D$15="Ozone", (I100*EXP(0.068*G100)-0.01)/0.47, IF(Segments!$D$15="Chloramines", (I100*EXP(0.071*G100)+410.7)/849.5, 0)))))</f>
        <v>0</v>
      </c>
      <c r="K100" s="18">
        <f>IF(I100=0, 0,IF(Segments!$D$15="Chlorine", I100/(0.2828*F100^2.69*E100^0.15*0.933^(G100-5)), IF(Segments!$D$15="Chlorine Dioxide", ((I100*G100^0.49)+0.18)/23.85, IF(Segments!$D$15="Ozone", (I100*exp^(0.072*G100)-0.01)/0.98, IF(Segments!$D$15="Chloramines", (I100/(858.5-(24.3*G100))), 0)))))</f>
        <v>0</v>
      </c>
      <c r="L100" s="25">
        <f t="shared" ref="L100:L107" si="46">J100/4</f>
        <v>0</v>
      </c>
      <c r="M100" s="19">
        <f t="shared" ref="M100:M107" si="47">K100/3</f>
        <v>0</v>
      </c>
      <c r="O100" s="80"/>
      <c r="P100" s="3" t="str">
        <f>Segments!$C$15</f>
        <v>Flocculation</v>
      </c>
      <c r="Q100" s="33">
        <v>800</v>
      </c>
      <c r="R100" s="33"/>
      <c r="S100" s="33">
        <v>1.35</v>
      </c>
      <c r="T100" s="33">
        <v>7.5</v>
      </c>
      <c r="U100" s="35">
        <v>10</v>
      </c>
      <c r="V100" s="28">
        <f>IF(Segments!$C$15="Not In Use",0, (IF(Segments!$F$15="Rectangular",Segments!$D$18*R100-Segments!$D$19, IF(Segments!$C$15="Pipe",Segments!$D$18,Segments!$D$18*R100))))</f>
        <v>0</v>
      </c>
      <c r="W100" s="31">
        <f>IF(Segments!$C$4="Not In Use", 0, IF(Q100=0,0,V100*S100/Q100))</f>
        <v>0</v>
      </c>
      <c r="X100" s="19">
        <f>IF(W100=0, 0,IF(Segments!$D$15="Chlorine", (W100*EXP(0.071*U100)-0.42)/2.94, IF(Segments!$D$15="Chlorine Dioxide", (W100*EXP(0.072*U100)+35.15)/21.25, IF(Segments!$D$15="Ozone", (W100*EXP(0.068*U100)-0.01)/0.47, IF(Segments!$D$15="Chloramines", (W100*EXP(0.071*U100)+410.7)/849.5, 0)))))</f>
        <v>0</v>
      </c>
      <c r="Y100" s="18">
        <f>IF(W100=0, 0,IF(Segments!$D$15="Chlorine", W100/(0.2828*T100^2.69*S100^0.15*0.933^(U100-5)), IF(Segments!$D$15="Chlorine Dioxide", ((W100*U100^0.49)+0.18)/23.85, IF(Segments!$D$15="Ozone", (W100*exp^(0.072*U100)-0.01)/0.98, IF(Segments!$D$15="Chloramines", (W100/(858.5-(24.3*U100))), 0)))))</f>
        <v>0</v>
      </c>
      <c r="Z100" s="25">
        <f t="shared" ref="Z100:Z107" si="48">X100/4</f>
        <v>0</v>
      </c>
      <c r="AA100" s="19">
        <f t="shared" ref="AA100:AA107" si="49">Y100/3</f>
        <v>0</v>
      </c>
    </row>
    <row r="101" spans="1:27" ht="13.5" thickBot="1" x14ac:dyDescent="0.25">
      <c r="A101" s="80"/>
      <c r="B101" s="3" t="str">
        <f>Segments!$C$26</f>
        <v>Sedimentation</v>
      </c>
      <c r="C101" s="33"/>
      <c r="D101" s="33"/>
      <c r="E101" s="33"/>
      <c r="F101" s="33"/>
      <c r="G101" s="35"/>
      <c r="H101" s="28">
        <f>IF(Segments!$C$26="Not In Use",0, (IF(Segments!$F$26="Rectangular",Segments!$D$29*D101-Segments!$D$30, IF(Segments!$C$26="Pipe",Segments!$D$29,Segments!$D$29*D101))))</f>
        <v>0</v>
      </c>
      <c r="I101" s="31">
        <f>IF(Segments!$C$4="Not In Use", 0, IF(C101=0,0,H101*E101/C101))</f>
        <v>0</v>
      </c>
      <c r="J101" s="19">
        <f>IF(I101=0, 0,IF(Segments!$D$26="Chlorine", (I101*EXP(0.071*G101)-0.42)/2.94, IF(Segments!$D$26="Chlorine Dioxide", (I101*EXP(0.072*G101)+35.15)/21.25, IF(Segments!$D$26="Ozone", (I101*EXP(0.068*G101)-0.01)/0.47, IF(Segments!$D$26="Chloramines", (I101*EXP(0.071*G101)+410.7)/849.5, 0)))))</f>
        <v>0</v>
      </c>
      <c r="K101" s="18">
        <f>IF(I101=0, 0,IF(Segments!$D$26="Chlorine", I101/(0.2828*F101^2.69*E101^0.15*0.933^(G101-5)), IF(Segments!$D$26="Chlorine Dioxide", ((I101*G101^0.49)+0.18)/23.85, IF(Segments!$D$26="Ozone",((I101*EXP(0.072*G101)-0.01)/0.98),IF(Segments!$D$26="Chloramines", (I101/(858.5-(24.3*G101))), 0)))))</f>
        <v>0</v>
      </c>
      <c r="L101" s="25">
        <f t="shared" si="46"/>
        <v>0</v>
      </c>
      <c r="M101" s="19">
        <f t="shared" si="47"/>
        <v>0</v>
      </c>
      <c r="O101" s="80"/>
      <c r="P101" s="3" t="str">
        <f>Segments!$C$26</f>
        <v>Sedimentation</v>
      </c>
      <c r="Q101" s="33"/>
      <c r="R101" s="33"/>
      <c r="S101" s="33"/>
      <c r="T101" s="33"/>
      <c r="U101" s="35"/>
      <c r="V101" s="28">
        <f>IF(Segments!$C$26="Not In Use",0, (IF(Segments!$F$26="Rectangular",Segments!$D$29*R101-Segments!$D$30, IF(Segments!$C$26="Pipe",Segments!$D$29,Segments!$D$29*R101))))</f>
        <v>0</v>
      </c>
      <c r="W101" s="31">
        <f>IF(Segments!$C$4="Not In Use", 0, IF(Q101=0,0,V101*S101/Q101))</f>
        <v>0</v>
      </c>
      <c r="X101" s="19">
        <f>IF(W101=0, 0,IF(Segments!$D$26="Chlorine", (W101*EXP(0.071*U101)-0.42)/2.94, IF(Segments!$D$26="Chlorine Dioxide", (W101*EXP(0.072*U101)+35.15)/21.25, IF(Segments!$D$26="Ozone", (W101*EXP(0.068*U101)-0.01)/0.47, IF(Segments!$D$26="Chloramines", (W101*EXP(0.071*U101)+410.7)/849.5, 0)))))</f>
        <v>0</v>
      </c>
      <c r="Y101" s="18">
        <f>IF(W101=0, 0,IF(Segments!$D$26="Chlorine", W101/(0.2828*T101^2.69*S101^0.15*0.933^(U101-5)), IF(Segments!$D$26="Chlorine Dioxide", ((W101*U101^0.49)+0.18)/23.85, IF(Segments!$D$26="Ozone",((W101*EXP(0.072*U101)-0.01)/0.98),IF(Segments!$D$26="Chloramines", (W101/(858.5-(24.3*U101))), 0)))))</f>
        <v>0</v>
      </c>
      <c r="Z101" s="25">
        <f t="shared" si="48"/>
        <v>0</v>
      </c>
      <c r="AA101" s="19">
        <f t="shared" si="49"/>
        <v>0</v>
      </c>
    </row>
    <row r="102" spans="1:27" ht="13.5" thickBot="1" x14ac:dyDescent="0.25">
      <c r="A102" s="80"/>
      <c r="B102" s="3" t="str">
        <f>Segments!$C$39</f>
        <v>Filtration</v>
      </c>
      <c r="C102" s="33"/>
      <c r="D102" s="33"/>
      <c r="E102" s="33"/>
      <c r="F102" s="33"/>
      <c r="G102" s="35"/>
      <c r="H102" s="28">
        <f>IF(Segments!$C$39="Not In Use",0, (IF(Segments!$F$39="Rectangular",Segments!$D$42*D102-Segments!$D$43, IF(Segments!$C$39="Pipe",Segments!$D$42,Segments!$D$42*D102))))</f>
        <v>0</v>
      </c>
      <c r="I102" s="31">
        <f>IF(Segments!$C$4="Not In Use", 0, IF(C102=0,0,H102*E102/C102))</f>
        <v>0</v>
      </c>
      <c r="J102" s="19">
        <f>IF(I102=0, 0,IF(Segments!$D$39="Chlorine", (I102*EXP(0.071*G102)-0.42)/2.94, IF(Segments!$D$39="Chlorine Dioxide", (I102*EXP(0.072*G102)+35.15)/21.25, IF(Segments!$D$39="Ozone", (I102*EXP(0.068*G102)-0.01)/0.47, IF(Segments!$D$39="Chloramines", (I102*EXP(0.071*G102)+410.7)/849.5, 0)))))</f>
        <v>0</v>
      </c>
      <c r="K102" s="18">
        <f>IF(I102=0, 0,IF(Segments!$D$39="Chlorine", I102/(0.2828*F102^2.69*E102^0.15*0.933^(G102-5)), IF(Segments!$D$39="Chlorine Dioxide", ((I102*G102^0.49)+0.18)/23.85, IF(Segments!$D$39="Ozone", (I102*EXP(0.072*G102)-0.01)/0.98, IF(Segments!$D$39="Chloramines", (I102/(858.5-(24.3*G102))), 0)))))</f>
        <v>0</v>
      </c>
      <c r="L102" s="25">
        <f t="shared" si="46"/>
        <v>0</v>
      </c>
      <c r="M102" s="19">
        <f t="shared" si="47"/>
        <v>0</v>
      </c>
      <c r="O102" s="80"/>
      <c r="P102" s="3" t="str">
        <f>Segments!$C$39</f>
        <v>Filtration</v>
      </c>
      <c r="Q102" s="33"/>
      <c r="R102" s="33"/>
      <c r="S102" s="33"/>
      <c r="T102" s="33"/>
      <c r="U102" s="35"/>
      <c r="V102" s="28">
        <f>IF(Segments!$C$39="Not In Use",0, (IF(Segments!$F$39="Rectangular",Segments!$D$42*R102-Segments!$D$43, IF(Segments!$C$39="Pipe",Segments!$D$42,Segments!$D$42*R102))))</f>
        <v>0</v>
      </c>
      <c r="W102" s="31">
        <f>IF(Segments!$C$4="Not In Use", 0, IF(Q102=0,0,V102*S102/Q102))</f>
        <v>0</v>
      </c>
      <c r="X102" s="19">
        <f>IF(W102=0, 0,IF(Segments!$D$39="Chlorine", (W102*EXP(0.071*U102)-0.42)/2.94, IF(Segments!$D$39="Chlorine Dioxide", (W102*EXP(0.072*U102)+35.15)/21.25, IF(Segments!$D$39="Ozone", (W102*EXP(0.068*U102)-0.01)/0.47, IF(Segments!$D$39="Chloramines", (W102*EXP(0.071*U102)+410.7)/849.5, 0)))))</f>
        <v>0</v>
      </c>
      <c r="Y102" s="18">
        <f>IF(W102=0, 0,IF(Segments!$D$39="Chlorine", W102/(0.2828*T102^2.69*S102^0.15*0.933^(U102-5)), IF(Segments!$D$39="Chlorine Dioxide", ((W102*U102^0.49)+0.18)/23.85, IF(Segments!$D$39="Ozone", (W102*EXP(0.072*U102)-0.01)/0.98, IF(Segments!$D$39="Chloramines", (W102/(858.5-(24.3*U102))), 0)))))</f>
        <v>0</v>
      </c>
      <c r="Z102" s="25">
        <f t="shared" si="48"/>
        <v>0</v>
      </c>
      <c r="AA102" s="19">
        <f t="shared" si="49"/>
        <v>0</v>
      </c>
    </row>
    <row r="103" spans="1:27" ht="13.5" thickBot="1" x14ac:dyDescent="0.25">
      <c r="A103" s="80"/>
      <c r="B103" s="3" t="str">
        <f>Segments!$C$50</f>
        <v>Clearwell</v>
      </c>
      <c r="C103" s="33"/>
      <c r="D103" s="33"/>
      <c r="E103" s="33"/>
      <c r="F103" s="33"/>
      <c r="G103" s="35"/>
      <c r="H103" s="28">
        <f>IF(Segments!$C$50="Not In Use",0, (IF(Segments!$F$50="Rectangular",Segments!$D$53*D103-Segments!$D$54, IF(Segments!$C$50="Pipe",Segments!$D$53,Segments!$D$53*D103))))</f>
        <v>0</v>
      </c>
      <c r="I103" s="31">
        <f>IF(Segments!$C$4="Not In Use", 0, IF(C103=0,0,H103*E103/C103))</f>
        <v>0</v>
      </c>
      <c r="J103" s="19">
        <f>IF(I103=0, 0,IF(Segments!$D$50="Chlorine", (I103*EXP(0.071*G103)-0.42)/2.94, IF(Segments!$D$50="Chlorine Dioxide", (I103*EXP(0.072*G103)+35.15)/21.25, IF(Segments!$D$50="Ozone", (I103*EXP(0.068*G103)-0.01)/0.47, IF(Segments!$D$50="Chloramines", (I103*EXP(0.071*G103)+410.7)/849.5, 0)))))</f>
        <v>0</v>
      </c>
      <c r="K103" s="18">
        <f>IF(I103=0, 0,IF(Segments!$D$50="Chlorine", I103/(0.2828*F103^2.69*E103^0.15*0.933^(G103-5)), IF(Segments!$D$50="Chlorine Dioxide", ((I103*G103^0.49)+0.18)/23.85, IF(Segments!$D$50="Ozone", (I103*EXP(0.072*G103)-0.01)/0.98, IF(Segments!$D$50="Chloramines", (I103/(858.5-(24.3*G103))), 0)))))</f>
        <v>0</v>
      </c>
      <c r="L103" s="25">
        <f t="shared" si="46"/>
        <v>0</v>
      </c>
      <c r="M103" s="19">
        <f t="shared" si="47"/>
        <v>0</v>
      </c>
      <c r="O103" s="80"/>
      <c r="P103" s="3" t="str">
        <f>Segments!$C$50</f>
        <v>Clearwell</v>
      </c>
      <c r="Q103" s="33"/>
      <c r="R103" s="33"/>
      <c r="S103" s="33"/>
      <c r="T103" s="33"/>
      <c r="U103" s="35"/>
      <c r="V103" s="28">
        <f>IF(Segments!$C$50="Not In Use",0, (IF(Segments!$F$50="Rectangular",Segments!$D$53*R103-Segments!$D$54, IF(Segments!$C$50="Pipe",Segments!$D$53,Segments!$D$53*R103))))</f>
        <v>0</v>
      </c>
      <c r="W103" s="31">
        <f>IF(Segments!$C$4="Not In Use", 0, IF(Q103=0,0,V103*S103/Q103))</f>
        <v>0</v>
      </c>
      <c r="X103" s="19">
        <f>IF(W103=0, 0,IF(Segments!$D$50="Chlorine", (W103*EXP(0.071*U103)-0.42)/2.94, IF(Segments!$D$50="Chlorine Dioxide", (W103*EXP(0.072*U103)+35.15)/21.25, IF(Segments!$D$50="Ozone", (W103*EXP(0.068*U103)-0.01)/0.47, IF(Segments!$D$50="Chloramines", (W103*EXP(0.071*U103)+410.7)/849.5, 0)))))</f>
        <v>0</v>
      </c>
      <c r="Y103" s="18">
        <f>IF(W103=0, 0,IF(Segments!$D$50="Chlorine", W103/(0.2828*T103^2.69*S103^0.15*0.933^(U103-5)), IF(Segments!$D$50="Chlorine Dioxide", ((W103*U103^0.49)+0.18)/23.85, IF(Segments!$D$50="Ozone", (W103*EXP(0.072*U103)-0.01)/0.98, IF(Segments!$D$50="Chloramines", (W103/(858.5-(24.3*U103))), 0)))))</f>
        <v>0</v>
      </c>
      <c r="Z103" s="25">
        <f t="shared" si="48"/>
        <v>0</v>
      </c>
      <c r="AA103" s="19">
        <f t="shared" si="49"/>
        <v>0</v>
      </c>
    </row>
    <row r="104" spans="1:27" ht="13.5" thickBot="1" x14ac:dyDescent="0.25">
      <c r="A104" s="80"/>
      <c r="B104" s="3" t="str">
        <f>Segments!$C$61</f>
        <v>Not In Use</v>
      </c>
      <c r="C104" s="33"/>
      <c r="D104" s="33"/>
      <c r="E104" s="33"/>
      <c r="F104" s="33"/>
      <c r="G104" s="35"/>
      <c r="H104" s="28">
        <f>IF(Segments!$C$61="Not In Use",0, (IF(Segments!$F$61="Rectangular",Segments!$D$64*D104-Segments!$D$65, IF(Segments!$C$61="Pipe",Segments!$D$64,Segments!$D$64*D104))))</f>
        <v>0</v>
      </c>
      <c r="I104" s="31">
        <f>IF(Segments!$C$4="Not In Use", 0, IF(C104=0,0,H104*E104/C104))</f>
        <v>0</v>
      </c>
      <c r="J104" s="19">
        <f>IF(I104=0, 0,IF(Segments!$D$61="Chlorine", (I104*EXP(0.071*G104)-0.42)/2.94, IF(Segments!$D$61="Chlorine Dioxide", (I104*EXP(0.072*G104)+35.15)/21.25, IF(Segments!$D$61="Ozone", (I104*EXP(0.068*G104)-0.01)/0.47, IF(Segments!$D$61="Chloramines", (I104*EXP(0.071*G104)+410.7)/849.5, 0)))))</f>
        <v>0</v>
      </c>
      <c r="K104" s="18">
        <f>IF(I104=0, 0,IF(Segments!$D$61="Chlorine", I104/(0.2828*F104^2.69*E104^0.15*0.933^(G104-5)), IF(Segments!$D$61="Chlorine Dioxide", ((I104*G104^0.49)+0.18)/23.85, IF(Segments!$D$61="Ozone", (I104*EXP(0.072*G104)-0.01)/0.98, IF(Segments!$D$61="Chloramines", (I104/(858.5-(24.3*G104))), 0)))))</f>
        <v>0</v>
      </c>
      <c r="L104" s="25">
        <f t="shared" si="46"/>
        <v>0</v>
      </c>
      <c r="M104" s="19">
        <f t="shared" si="47"/>
        <v>0</v>
      </c>
      <c r="O104" s="80"/>
      <c r="P104" s="3" t="str">
        <f>Segments!$C$61</f>
        <v>Not In Use</v>
      </c>
      <c r="Q104" s="33"/>
      <c r="R104" s="33"/>
      <c r="S104" s="33"/>
      <c r="T104" s="33"/>
      <c r="U104" s="35"/>
      <c r="V104" s="28">
        <f>IF(Segments!$C$61="Not In Use",0, (IF(Segments!$F$61="Rectangular",Segments!$D$64*R104-Segments!$D$65, IF(Segments!$C$61="Pipe",Segments!$D$64,Segments!$D$64*R104))))</f>
        <v>0</v>
      </c>
      <c r="W104" s="31">
        <f>IF(Segments!$C$4="Not In Use", 0, IF(Q104=0,0,V104*S104/Q104))</f>
        <v>0</v>
      </c>
      <c r="X104" s="19">
        <f>IF(W104=0, 0,IF(Segments!$D$61="Chlorine", (W104*EXP(0.071*U104)-0.42)/2.94, IF(Segments!$D$61="Chlorine Dioxide", (W104*EXP(0.072*U104)+35.15)/21.25, IF(Segments!$D$61="Ozone", (W104*EXP(0.068*U104)-0.01)/0.47, IF(Segments!$D$61="Chloramines", (W104*EXP(0.071*U104)+410.7)/849.5, 0)))))</f>
        <v>0</v>
      </c>
      <c r="Y104" s="18">
        <f>IF(W104=0, 0,IF(Segments!$D$61="Chlorine", W104/(0.2828*T104^2.69*S104^0.15*0.933^(U104-5)), IF(Segments!$D$61="Chlorine Dioxide", ((W104*U104^0.49)+0.18)/23.85, IF(Segments!$D$61="Ozone", (W104*EXP(0.072*U104)-0.01)/0.98, IF(Segments!$D$61="Chloramines", (W104/(858.5-(24.3*U104))), 0)))))</f>
        <v>0</v>
      </c>
      <c r="Z104" s="25">
        <f t="shared" si="48"/>
        <v>0</v>
      </c>
      <c r="AA104" s="19">
        <f t="shared" si="49"/>
        <v>0</v>
      </c>
    </row>
    <row r="105" spans="1:27" ht="13.5" thickBot="1" x14ac:dyDescent="0.25">
      <c r="A105" s="80"/>
      <c r="B105" s="3" t="str">
        <f>Segments!$C$74</f>
        <v>Not In Use</v>
      </c>
      <c r="C105" s="33"/>
      <c r="D105" s="33"/>
      <c r="E105" s="33"/>
      <c r="F105" s="33"/>
      <c r="G105" s="35"/>
      <c r="H105" s="28">
        <f>IF(Segments!$C$74="Not In Use",0, (IF(Segments!$F$74="Rectangular",Segments!$D$77*D105-Segments!$D$78, IF(Segments!$C$74="Pipe",Segments!$D$77,Segments!$D$77*D105))))</f>
        <v>0</v>
      </c>
      <c r="I105" s="31">
        <f>IF(Segments!$C$4="Not In Use", 0, IF(C105=0,0,H105*E105/C105))</f>
        <v>0</v>
      </c>
      <c r="J105" s="19">
        <f>IF(I105=0, 0,IF(Segments!$D$74="Chlorine", (I105*EXP(0.071*G105)-0.42)/2.94, IF(Segments!$D$74="Chlorine Dioxide", (I105*EXP(0.072*G105)+35.15)/21.25, IF(Segments!$D$74="Ozone", (I105*EXP(0.068*G105)-0.01)/0.47, IF(Segments!$D$74="Chloramines", (I105*EXP(0.071*G105)+410.7)/849.5, 0)))))</f>
        <v>0</v>
      </c>
      <c r="K105" s="18">
        <f>IF(I105=0, 0,IF(Segments!$D$74="Chlorine", I105/(0.2828*F105^2.69*E105^0.15*0.933^(G105-5)), IF(Segments!$D$74="Chlorine Dioxide", ((I105*G105^0.49)+0.18)/23.85, IF(Segments!$D$74="Ozone", (I105*EXP(0.072*G105)-0.01)/0.98, IF(Segments!$D$74="Chloramines", (I105/(858.5-(24.3*G105))), 0)))))</f>
        <v>0</v>
      </c>
      <c r="L105" s="25">
        <f t="shared" si="46"/>
        <v>0</v>
      </c>
      <c r="M105" s="19">
        <f t="shared" si="47"/>
        <v>0</v>
      </c>
      <c r="O105" s="80"/>
      <c r="P105" s="3" t="str">
        <f>Segments!$C$74</f>
        <v>Not In Use</v>
      </c>
      <c r="Q105" s="33"/>
      <c r="R105" s="33"/>
      <c r="S105" s="33"/>
      <c r="T105" s="33"/>
      <c r="U105" s="35"/>
      <c r="V105" s="28">
        <f>IF(Segments!$C$74="Not In Use",0, (IF(Segments!$F$74="Rectangular",Segments!$D$77*R105-Segments!$D$78, IF(Segments!$C$74="Pipe",Segments!$D$77,Segments!$D$77*R105))))</f>
        <v>0</v>
      </c>
      <c r="W105" s="31">
        <f>IF(Segments!$C$4="Not In Use", 0, IF(Q105=0,0,V105*S105/Q105))</f>
        <v>0</v>
      </c>
      <c r="X105" s="19">
        <f>IF(W105=0, 0,IF(Segments!$D$74="Chlorine", (W105*EXP(0.071*U105)-0.42)/2.94, IF(Segments!$D$74="Chlorine Dioxide", (W105*EXP(0.072*U105)+35.15)/21.25, IF(Segments!$D$74="Ozone", (W105*EXP(0.068*U105)-0.01)/0.47, IF(Segments!$D$74="Chloramines", (W105*EXP(0.071*U105)+410.7)/849.5, 0)))))</f>
        <v>0</v>
      </c>
      <c r="Y105" s="18">
        <f>IF(W105=0, 0,IF(Segments!$D$74="Chlorine", W105/(0.2828*T105^2.69*S105^0.15*0.933^(U105-5)), IF(Segments!$D$74="Chlorine Dioxide", ((W105*U105^0.49)+0.18)/23.85, IF(Segments!$D$74="Ozone", (W105*EXP(0.072*U105)-0.01)/0.98, IF(Segments!$D$74="Chloramines", (W105/(858.5-(24.3*U105))), 0)))))</f>
        <v>0</v>
      </c>
      <c r="Z105" s="25">
        <f t="shared" si="48"/>
        <v>0</v>
      </c>
      <c r="AA105" s="19">
        <f t="shared" si="49"/>
        <v>0</v>
      </c>
    </row>
    <row r="106" spans="1:27" ht="13.5" thickBot="1" x14ac:dyDescent="0.25">
      <c r="A106" s="80"/>
      <c r="B106" s="3" t="str">
        <f>Segments!$C$85</f>
        <v>Not In Use</v>
      </c>
      <c r="C106" s="33"/>
      <c r="D106" s="33"/>
      <c r="E106" s="33"/>
      <c r="F106" s="33"/>
      <c r="G106" s="35"/>
      <c r="H106" s="28">
        <f>IF(Segments!$C$85="Not In Use",0, (IF(Segments!$F$85="Rectangular",Segments!$D$88*D106-Segments!$D$89, IF(Segments!$C$85="Pipe",Segments!$D$88,Segments!$D$88*D106))))</f>
        <v>0</v>
      </c>
      <c r="I106" s="31">
        <f>IF(Segments!$C$4="Not In Use", 0, IF(C106=0,0,H106*E106/C106))</f>
        <v>0</v>
      </c>
      <c r="J106" s="19">
        <f>IF(I106=0, 0,IF(Segments!$D$85="Chlorine", (I106*EXP(0.071*G106)-0.42)/2.94, IF(Segments!$D$85="Chlorine Dioxide", (I106*EXP(0.072*G106)+35.15)/21.25, IF(Segments!$D$85="Ozone", (I106*EXP(0.068*G106)-0.01)/0.47, IF(Segments!$D$85="Chloramines", (I106*EXP(0.071*G106)+410.7)/849.5, 0)))))</f>
        <v>0</v>
      </c>
      <c r="K106" s="18">
        <f>IF(I106=0, 0,IF(Segments!$D$85="Chlorine", I106/(0.2828*F106^2.69*E106^0.15*0.933^(G106-5)), IF(Segments!$D$85="Chlorine Dioxide", ((I106*G106^0.49)+0.18)/23.85, IF(Segments!$D$85="Ozone", (I106*EXP(0.072*G106)-0.01)/0.98, IF(Segments!$D$85="Chloramines", (I106/(858.5-(24.3*G106))), 0)))))</f>
        <v>0</v>
      </c>
      <c r="L106" s="25">
        <f t="shared" si="46"/>
        <v>0</v>
      </c>
      <c r="M106" s="19">
        <f t="shared" si="47"/>
        <v>0</v>
      </c>
      <c r="O106" s="80"/>
      <c r="P106" s="3" t="str">
        <f>Segments!$C$85</f>
        <v>Not In Use</v>
      </c>
      <c r="Q106" s="33"/>
      <c r="R106" s="33"/>
      <c r="S106" s="33"/>
      <c r="T106" s="33"/>
      <c r="U106" s="35"/>
      <c r="V106" s="28">
        <f>IF(Segments!$C$85="Not In Use",0, (IF(Segments!$F$85="Rectangular",Segments!$D$88*R106-Segments!$D$89, IF(Segments!$C$85="Pipe",Segments!$D$88,Segments!$D$88*R106))))</f>
        <v>0</v>
      </c>
      <c r="W106" s="31">
        <f>IF(Segments!$C$4="Not In Use", 0, IF(Q106=0,0,V106*S106/Q106))</f>
        <v>0</v>
      </c>
      <c r="X106" s="19">
        <f>IF(W106=0, 0,IF(Segments!$D$85="Chlorine", (W106*EXP(0.071*U106)-0.42)/2.94, IF(Segments!$D$85="Chlorine Dioxide", (W106*EXP(0.072*U106)+35.15)/21.25, IF(Segments!$D$85="Ozone", (W106*EXP(0.068*U106)-0.01)/0.47, IF(Segments!$D$85="Chloramines", (W106*EXP(0.071*U106)+410.7)/849.5, 0)))))</f>
        <v>0</v>
      </c>
      <c r="Y106" s="18">
        <f>IF(W106=0, 0,IF(Segments!$D$85="Chlorine", W106/(0.2828*T106^2.69*S106^0.15*0.933^(U106-5)), IF(Segments!$D$85="Chlorine Dioxide", ((W106*U106^0.49)+0.18)/23.85, IF(Segments!$D$85="Ozone", (W106*EXP(0.072*U106)-0.01)/0.98, IF(Segments!$D$85="Chloramines", (W106/(858.5-(24.3*U106))), 0)))))</f>
        <v>0</v>
      </c>
      <c r="Z106" s="25">
        <f t="shared" si="48"/>
        <v>0</v>
      </c>
      <c r="AA106" s="19">
        <f t="shared" si="49"/>
        <v>0</v>
      </c>
    </row>
    <row r="107" spans="1:27" ht="13.5" thickBot="1" x14ac:dyDescent="0.25">
      <c r="A107" s="80"/>
      <c r="B107" s="3" t="str">
        <f>Segments!$C$96</f>
        <v>Not In Use</v>
      </c>
      <c r="C107" s="36"/>
      <c r="D107" s="36"/>
      <c r="E107" s="36"/>
      <c r="F107" s="36"/>
      <c r="G107" s="34"/>
      <c r="H107" s="29">
        <f>IF(Segments!$C$96="Not In Use",0, (IF(Segments!$F$96="Rectangular",Segments!$D$99*D107-Segments!$D$100, IF(Segments!$C$96="Pipe",Segments!$D$99,Segments!$D$99*D107))))</f>
        <v>0</v>
      </c>
      <c r="I107" s="32">
        <f>IF(Segments!$C$4="Not In Use", 0, IF(C107=0,0,H107*E107/C107))</f>
        <v>0</v>
      </c>
      <c r="J107" s="19">
        <f>IF(I107=0, 0,IF(Segments!$D$96="Chlorine", (I107*EXP(0.071*G107)-0.42)/2.94, IF(Segments!$D$96="Chlorine Dioxide", (I107*EXP(0.072*G107)+35.15)/21.25, IF(Segments!$D$96="Ozone", (I107*EXP(0.068*G107)-0.01)/0.47, IF(Segments!$D$96="Chloramines", (I107*EXP(0.071*G107)+410.7)/849.5, 0)))))</f>
        <v>0</v>
      </c>
      <c r="K107" s="18">
        <f>IF(I107=0, 0,IF(Segments!$D$96="Chlorine", I107/(0.2828*F107^2.69*E107^0.15*0.933^(G107-5)), IF(Segments!$D$96="Chlorine Dioxide", ((I107*G107^0.49)+0.18)/23.85, IF(Segments!$D$96="Ozone", (I107*EXP(0.072*G107)-0.01)/0.98, IF(Segments!$D$96="Chloramines", (I107/(858.5-(24.3*G107))), 0)))))</f>
        <v>0</v>
      </c>
      <c r="L107" s="25">
        <f t="shared" si="46"/>
        <v>0</v>
      </c>
      <c r="M107" s="19">
        <f t="shared" si="47"/>
        <v>0</v>
      </c>
      <c r="O107" s="80"/>
      <c r="P107" s="3" t="str">
        <f>Segments!$C$96</f>
        <v>Not In Use</v>
      </c>
      <c r="Q107" s="36"/>
      <c r="R107" s="36"/>
      <c r="S107" s="36"/>
      <c r="T107" s="36"/>
      <c r="U107" s="34"/>
      <c r="V107" s="29">
        <f>IF(Segments!$C$96="Not In Use",0, (IF(Segments!$F$96="Rectangular",Segments!$D$99*R107-Segments!$D$100, IF(Segments!$C$96="Pipe",Segments!$D$99,Segments!$D$99*R107))))</f>
        <v>0</v>
      </c>
      <c r="W107" s="32">
        <f>IF(Segments!$C$4="Not In Use", 0, IF(Q107=0,0,V107*S107/Q107))</f>
        <v>0</v>
      </c>
      <c r="X107" s="19">
        <f>IF(W107=0, 0,IF(Segments!$D$96="Chlorine", (W107*EXP(0.071*U107)-0.42)/2.94, IF(Segments!$D$96="Chlorine Dioxide", (W107*EXP(0.072*U107)+35.15)/21.25, IF(Segments!$D$96="Ozone", (W107*EXP(0.068*U107)-0.01)/0.47, IF(Segments!$D$96="Chloramines", (W107*EXP(0.071*U107)+410.7)/849.5, 0)))))</f>
        <v>0</v>
      </c>
      <c r="Y107" s="18">
        <f>IF(W107=0, 0,IF(Segments!$D$96="Chlorine", W107/(0.2828*T107^2.69*S107^0.15*0.933^(U107-5)), IF(Segments!$D$96="Chlorine Dioxide", ((W107*U107^0.49)+0.18)/23.85, IF(Segments!$D$96="Ozone", (W107*EXP(0.072*U107)-0.01)/0.98, IF(Segments!$D$96="Chloramines", (W107/(858.5-(24.3*U107))), 0)))))</f>
        <v>0</v>
      </c>
      <c r="Z107" s="25">
        <f t="shared" si="48"/>
        <v>0</v>
      </c>
      <c r="AA107" s="19">
        <f t="shared" si="49"/>
        <v>0</v>
      </c>
    </row>
    <row r="108" spans="1:27" ht="13.5" thickBot="1" x14ac:dyDescent="0.25">
      <c r="A108" s="81"/>
      <c r="B108" s="22" t="s">
        <v>42</v>
      </c>
      <c r="C108" s="23"/>
      <c r="D108" s="23"/>
      <c r="E108" s="23"/>
      <c r="F108" s="23"/>
      <c r="G108" s="23"/>
      <c r="H108" s="26"/>
      <c r="I108" s="50">
        <f>SUM(I99:I107)</f>
        <v>3.9219910714285717</v>
      </c>
      <c r="J108" s="50">
        <f>SUM(J99:J107)</f>
        <v>3.7268927194332697</v>
      </c>
      <c r="K108" s="50">
        <f>SUM(K99:K107)</f>
        <v>0.11557988836844089</v>
      </c>
      <c r="L108" s="50">
        <f>SUM(L99:L107)</f>
        <v>0.93172317985831743</v>
      </c>
      <c r="M108" s="50">
        <f>SUM(M99:M107)</f>
        <v>3.8526629456146967E-2</v>
      </c>
      <c r="O108" s="81"/>
      <c r="P108" s="22" t="s">
        <v>42</v>
      </c>
      <c r="Q108" s="23"/>
      <c r="R108" s="23"/>
      <c r="S108" s="23"/>
      <c r="T108" s="23"/>
      <c r="U108" s="23"/>
      <c r="V108" s="26"/>
      <c r="W108" s="50">
        <f>SUM(W99:W107)</f>
        <v>7.6871024999999999</v>
      </c>
      <c r="X108" s="50">
        <f>SUM(X99:X107)</f>
        <v>5.1753398943270694</v>
      </c>
      <c r="Y108" s="50">
        <f>SUM(Y99:Y107)</f>
        <v>0.16182329662462355</v>
      </c>
      <c r="Z108" s="50">
        <f>SUM(Z99:Z107)</f>
        <v>1.2938349735817674</v>
      </c>
      <c r="AA108" s="50">
        <f>SUM(AA99:AA107)</f>
        <v>5.394109887487452E-2</v>
      </c>
    </row>
    <row r="109" spans="1:27" ht="6" customHeight="1" thickBot="1" x14ac:dyDescent="0.25">
      <c r="A109" s="15"/>
      <c r="B109" s="15"/>
      <c r="C109" s="15"/>
      <c r="D109" s="15"/>
      <c r="E109" s="15"/>
      <c r="F109" s="15"/>
      <c r="G109" s="15"/>
      <c r="H109" s="15"/>
      <c r="I109" s="15"/>
      <c r="J109" s="15"/>
      <c r="K109" s="15"/>
      <c r="L109" s="15"/>
      <c r="M109" s="15"/>
    </row>
    <row r="110" spans="1:27" ht="51.75" thickBot="1" x14ac:dyDescent="0.25">
      <c r="A110" s="79" t="s">
        <v>58</v>
      </c>
      <c r="B110" s="6" t="s">
        <v>23</v>
      </c>
      <c r="C110" s="16" t="s">
        <v>83</v>
      </c>
      <c r="D110" s="6" t="s">
        <v>38</v>
      </c>
      <c r="E110" s="16" t="s">
        <v>45</v>
      </c>
      <c r="F110" s="16" t="s">
        <v>6</v>
      </c>
      <c r="G110" s="16" t="s">
        <v>37</v>
      </c>
      <c r="H110" s="16" t="s">
        <v>35</v>
      </c>
      <c r="I110" s="16" t="s">
        <v>46</v>
      </c>
      <c r="J110" s="16" t="s">
        <v>39</v>
      </c>
      <c r="K110" s="16" t="s">
        <v>40</v>
      </c>
      <c r="L110" s="16" t="s">
        <v>41</v>
      </c>
      <c r="M110" s="17" t="s">
        <v>36</v>
      </c>
      <c r="O110" s="79" t="s">
        <v>65</v>
      </c>
      <c r="P110" s="6" t="s">
        <v>23</v>
      </c>
      <c r="Q110" s="16" t="s">
        <v>83</v>
      </c>
      <c r="R110" s="6" t="s">
        <v>38</v>
      </c>
      <c r="S110" s="16" t="s">
        <v>45</v>
      </c>
      <c r="T110" s="16" t="s">
        <v>6</v>
      </c>
      <c r="U110" s="16" t="s">
        <v>37</v>
      </c>
      <c r="V110" s="16" t="s">
        <v>35</v>
      </c>
      <c r="W110" s="16" t="s">
        <v>46</v>
      </c>
      <c r="X110" s="16" t="s">
        <v>39</v>
      </c>
      <c r="Y110" s="16" t="s">
        <v>40</v>
      </c>
      <c r="Z110" s="16" t="s">
        <v>41</v>
      </c>
      <c r="AA110" s="17" t="s">
        <v>36</v>
      </c>
    </row>
    <row r="111" spans="1:27" ht="13.5" thickBot="1" x14ac:dyDescent="0.25">
      <c r="A111" s="80"/>
      <c r="B111" s="3" t="str">
        <f>Segments!$C$4</f>
        <v>Rapid Mix</v>
      </c>
      <c r="C111" s="34">
        <v>1400</v>
      </c>
      <c r="D111" s="33">
        <v>9.5</v>
      </c>
      <c r="E111" s="33">
        <v>1.4</v>
      </c>
      <c r="F111" s="33">
        <v>7.8</v>
      </c>
      <c r="G111" s="35">
        <v>17</v>
      </c>
      <c r="H111" s="27">
        <f>IF(Segments!$C$4="Not In Use",0, (IF(Segments!$F$4="Rectangular",Segments!$D$7*D111-Segments!$D$8, IF(Segments!$C$4="Pipe",Segments!$D$7,Segments!$D$7*D111))))</f>
        <v>3477.4987500000002</v>
      </c>
      <c r="I111" s="30">
        <f>IF(Segments!$C$4="Not In Use", 0, IF(C111=0,0,H111*E111/C111))</f>
        <v>3.4774987499999996</v>
      </c>
      <c r="J111" s="21">
        <f>IF(I111=0, 0,IF(Segments!$D$4="Chlorine", (I111*EXP(0.071*G111)-0.42)/2.94, IF(Segments!$D$4="Chlorine Dioxide", (I111*EXP(0.072*G111)+35.15)/21.25, IF(Segments!$D$4="Ozone", (I111*EXP(0.068*G111)-0.01)/0.47, IF(Segments!$D$4="Chloramines", (I111*EXP(0.071*G111)+410.7)/849.5, 0)))))</f>
        <v>3.8118387403764853</v>
      </c>
      <c r="K111" s="20">
        <f>IF(I111=0, 0,IF(Segments!$D$4="Chlorine", I111/(0.2828*F111^2.69*E111^0.15*0.933^(G111-5)), IF(Segments!$D$4="Chlorine Dioxide", ((I111*G111^0.49)+0.18)/23.85, IF(Segments!$D$4="Ozone", (I111*EXP(0.072*G111)-0.01)/0.98, IF(Segments!$D$4="Chloramines", (I111/(858.5-(24.3*G111))), 0)))))</f>
        <v>0.10704198790186656</v>
      </c>
      <c r="L111" s="24">
        <f>J111/4</f>
        <v>0.95295968509412132</v>
      </c>
      <c r="M111" s="21">
        <f>K111/3</f>
        <v>3.5680662633955522E-2</v>
      </c>
      <c r="O111" s="80"/>
      <c r="P111" s="3" t="str">
        <f>Segments!$C$4</f>
        <v>Rapid Mix</v>
      </c>
      <c r="Q111" s="34">
        <v>1400</v>
      </c>
      <c r="R111" s="33">
        <v>12</v>
      </c>
      <c r="S111" s="33">
        <v>1.5</v>
      </c>
      <c r="T111" s="33">
        <v>7.5</v>
      </c>
      <c r="U111" s="35">
        <v>15</v>
      </c>
      <c r="V111" s="27">
        <f>IF(Segments!$C$4="Not In Use",0, (IF(Segments!$F$4="Rectangular",Segments!$D$7*R111-Segments!$D$8, IF(Segments!$C$4="Pipe",Segments!$D$7,Segments!$D$7*R111))))</f>
        <v>4392.63</v>
      </c>
      <c r="W111" s="30">
        <f>IF(Segments!$C$4="Not In Use", 0, IF(Q111=0,0,V111*S111/Q111))</f>
        <v>4.7063892857142857</v>
      </c>
      <c r="X111" s="21">
        <f>IF(W111=0, 0,IF(Segments!$D$4="Chlorine", (W111*EXP(0.071*U111)-0.42)/2.94, IF(Segments!$D$4="Chlorine Dioxide", (W111*EXP(0.072*U111)+35.15)/21.25, IF(Segments!$D$4="Ozone", (W111*EXP(0.068*U111)-0.01)/0.47, IF(Segments!$D$4="Chloramines", (W111*EXP(0.071*U111)+410.7)/849.5, 0)))))</f>
        <v>4.5008426918913518</v>
      </c>
      <c r="Y111" s="20">
        <f>IF(W111=0, 0,IF(Segments!$D$4="Chlorine", W111/(0.2828*T111^2.69*S111^0.15*0.933^(U111-5)), IF(Segments!$D$4="Chlorine Dioxide", ((W111*U111^0.49)+0.18)/23.85, IF(Segments!$D$4="Ozone", (W111*EXP(0.072*U111)-0.01)/0.98, IF(Segments!$D$4="Chloramines", (W111/(858.5-(24.3*U111))), 0)))))</f>
        <v>0.13869586604212908</v>
      </c>
      <c r="Z111" s="24">
        <f>X111/4</f>
        <v>1.1252106729728379</v>
      </c>
      <c r="AA111" s="21">
        <f>Y111/3</f>
        <v>4.6231955347376362E-2</v>
      </c>
    </row>
    <row r="112" spans="1:27" ht="13.5" thickBot="1" x14ac:dyDescent="0.25">
      <c r="A112" s="80"/>
      <c r="B112" s="3" t="str">
        <f>Segments!$C$15</f>
        <v>Flocculation</v>
      </c>
      <c r="C112" s="33">
        <v>1400</v>
      </c>
      <c r="D112" s="33"/>
      <c r="E112" s="33">
        <v>1.4</v>
      </c>
      <c r="F112" s="33">
        <v>7.8</v>
      </c>
      <c r="G112" s="35">
        <v>17</v>
      </c>
      <c r="H112" s="28">
        <f>IF(Segments!$C$15="Not In Use",0, (IF(Segments!$F$15="Rectangular",Segments!$D$18*D112-Segments!$D$19, IF(Segments!$C$15="Pipe",Segments!$D$18,Segments!$D$18*D112))))</f>
        <v>0</v>
      </c>
      <c r="I112" s="31">
        <f>IF(Segments!$C$4="Not In Use", 0, IF(C112=0,0,H112*E112/C112))</f>
        <v>0</v>
      </c>
      <c r="J112" s="19">
        <f>IF(I112=0, 0,IF(Segments!$D$15="Chlorine", (I112*EXP(0.071*G112)-0.42)/2.94, IF(Segments!$D$15="Chlorine Dioxide", (I112*EXP(0.072*G112)+35.15)/21.25, IF(Segments!$D$15="Ozone", (I112*EXP(0.068*G112)-0.01)/0.47, IF(Segments!$D$15="Chloramines", (I112*EXP(0.071*G112)+410.7)/849.5, 0)))))</f>
        <v>0</v>
      </c>
      <c r="K112" s="18">
        <f>IF(I112=0, 0,IF(Segments!$D$15="Chlorine", I112/(0.2828*F112^2.69*E112^0.15*0.933^(G112-5)), IF(Segments!$D$15="Chlorine Dioxide", ((I112*G112^0.49)+0.18)/23.85, IF(Segments!$D$15="Ozone", (I112*exp^(0.072*G112)-0.01)/0.98, IF(Segments!$D$15="Chloramines", (I112/(858.5-(24.3*G112))), 0)))))</f>
        <v>0</v>
      </c>
      <c r="L112" s="25">
        <f t="shared" ref="L112:L119" si="50">J112/4</f>
        <v>0</v>
      </c>
      <c r="M112" s="19">
        <f t="shared" ref="M112:M119" si="51">K112/3</f>
        <v>0</v>
      </c>
      <c r="O112" s="80"/>
      <c r="P112" s="3" t="str">
        <f>Segments!$C$15</f>
        <v>Flocculation</v>
      </c>
      <c r="Q112" s="33">
        <v>1400</v>
      </c>
      <c r="R112" s="33"/>
      <c r="S112" s="33">
        <v>1.4</v>
      </c>
      <c r="T112" s="33">
        <v>7.5</v>
      </c>
      <c r="U112" s="35">
        <v>15</v>
      </c>
      <c r="V112" s="28">
        <f>IF(Segments!$C$15="Not In Use",0, (IF(Segments!$F$15="Rectangular",Segments!$D$18*R112-Segments!$D$19, IF(Segments!$C$15="Pipe",Segments!$D$18,Segments!$D$18*R112))))</f>
        <v>0</v>
      </c>
      <c r="W112" s="31">
        <f>IF(Segments!$C$4="Not In Use", 0, IF(Q112=0,0,V112*S112/Q112))</f>
        <v>0</v>
      </c>
      <c r="X112" s="19">
        <f>IF(W112=0, 0,IF(Segments!$D$15="Chlorine", (W112*EXP(0.071*U112)-0.42)/2.94, IF(Segments!$D$15="Chlorine Dioxide", (W112*EXP(0.072*U112)+35.15)/21.25, IF(Segments!$D$15="Ozone", (W112*EXP(0.068*U112)-0.01)/0.47, IF(Segments!$D$15="Chloramines", (W112*EXP(0.071*U112)+410.7)/849.5, 0)))))</f>
        <v>0</v>
      </c>
      <c r="Y112" s="18">
        <f>IF(W112=0, 0,IF(Segments!$D$15="Chlorine", W112/(0.2828*T112^2.69*S112^0.15*0.933^(U112-5)), IF(Segments!$D$15="Chlorine Dioxide", ((W112*U112^0.49)+0.18)/23.85, IF(Segments!$D$15="Ozone", (W112*exp^(0.072*U112)-0.01)/0.98, IF(Segments!$D$15="Chloramines", (W112/(858.5-(24.3*U112))), 0)))))</f>
        <v>0</v>
      </c>
      <c r="Z112" s="25">
        <f t="shared" ref="Z112:Z119" si="52">X112/4</f>
        <v>0</v>
      </c>
      <c r="AA112" s="19">
        <f t="shared" ref="AA112:AA119" si="53">Y112/3</f>
        <v>0</v>
      </c>
    </row>
    <row r="113" spans="1:27" ht="13.5" thickBot="1" x14ac:dyDescent="0.25">
      <c r="A113" s="80"/>
      <c r="B113" s="3" t="str">
        <f>Segments!$C$26</f>
        <v>Sedimentation</v>
      </c>
      <c r="C113" s="33"/>
      <c r="D113" s="33"/>
      <c r="E113" s="33"/>
      <c r="F113" s="33"/>
      <c r="G113" s="35"/>
      <c r="H113" s="28">
        <f>IF(Segments!$C$26="Not In Use",0, (IF(Segments!$F$26="Rectangular",Segments!$D$29*D113-Segments!$D$30, IF(Segments!$C$26="Pipe",Segments!$D$29,Segments!$D$29*D113))))</f>
        <v>0</v>
      </c>
      <c r="I113" s="31">
        <f>IF(Segments!$C$4="Not In Use", 0, IF(C113=0,0,H113*E113/C113))</f>
        <v>0</v>
      </c>
      <c r="J113" s="19">
        <f>IF(I113=0, 0,IF(Segments!$D$26="Chlorine", (I113*EXP(0.071*G113)-0.42)/2.94, IF(Segments!$D$26="Chlorine Dioxide", (I113*EXP(0.072*G113)+35.15)/21.25, IF(Segments!$D$26="Ozone", (I113*EXP(0.068*G113)-0.01)/0.47, IF(Segments!$D$26="Chloramines", (I113*EXP(0.071*G113)+410.7)/849.5, 0)))))</f>
        <v>0</v>
      </c>
      <c r="K113" s="18">
        <f>IF(I113=0, 0,IF(Segments!$D$26="Chlorine", I113/(0.2828*F113^2.69*E113^0.15*0.933^(G113-5)), IF(Segments!$D$26="Chlorine Dioxide", ((I113*G113^0.49)+0.18)/23.85, IF(Segments!$D$26="Ozone",((I113*EXP(0.072*G113)-0.01)/0.98),IF(Segments!$D$26="Chloramines", (I113/(858.5-(24.3*G113))), 0)))))</f>
        <v>0</v>
      </c>
      <c r="L113" s="25">
        <f t="shared" si="50"/>
        <v>0</v>
      </c>
      <c r="M113" s="19">
        <f t="shared" si="51"/>
        <v>0</v>
      </c>
      <c r="O113" s="80"/>
      <c r="P113" s="3" t="str">
        <f>Segments!$C$26</f>
        <v>Sedimentation</v>
      </c>
      <c r="Q113" s="33"/>
      <c r="R113" s="33"/>
      <c r="S113" s="33"/>
      <c r="T113" s="33"/>
      <c r="U113" s="35"/>
      <c r="V113" s="28">
        <f>IF(Segments!$C$26="Not In Use",0, (IF(Segments!$F$26="Rectangular",Segments!$D$29*R113-Segments!$D$30, IF(Segments!$C$26="Pipe",Segments!$D$29,Segments!$D$29*R113))))</f>
        <v>0</v>
      </c>
      <c r="W113" s="31">
        <f>IF(Segments!$C$4="Not In Use", 0, IF(Q113=0,0,V113*S113/Q113))</f>
        <v>0</v>
      </c>
      <c r="X113" s="19">
        <f>IF(W113=0, 0,IF(Segments!$D$26="Chlorine", (W113*EXP(0.071*U113)-0.42)/2.94, IF(Segments!$D$26="Chlorine Dioxide", (W113*EXP(0.072*U113)+35.15)/21.25, IF(Segments!$D$26="Ozone", (W113*EXP(0.068*U113)-0.01)/0.47, IF(Segments!$D$26="Chloramines", (W113*EXP(0.071*U113)+410.7)/849.5, 0)))))</f>
        <v>0</v>
      </c>
      <c r="Y113" s="18">
        <f>IF(W113=0, 0,IF(Segments!$D$26="Chlorine", W113/(0.2828*T113^2.69*S113^0.15*0.933^(U113-5)), IF(Segments!$D$26="Chlorine Dioxide", ((W113*U113^0.49)+0.18)/23.85, IF(Segments!$D$26="Ozone",((W113*EXP(0.072*U113)-0.01)/0.98),IF(Segments!$D$26="Chloramines", (W113/(858.5-(24.3*U113))), 0)))))</f>
        <v>0</v>
      </c>
      <c r="Z113" s="25">
        <f t="shared" si="52"/>
        <v>0</v>
      </c>
      <c r="AA113" s="19">
        <f t="shared" si="53"/>
        <v>0</v>
      </c>
    </row>
    <row r="114" spans="1:27" ht="13.5" thickBot="1" x14ac:dyDescent="0.25">
      <c r="A114" s="80"/>
      <c r="B114" s="3" t="str">
        <f>Segments!$C$39</f>
        <v>Filtration</v>
      </c>
      <c r="C114" s="33"/>
      <c r="D114" s="33"/>
      <c r="E114" s="33"/>
      <c r="F114" s="33"/>
      <c r="G114" s="35"/>
      <c r="H114" s="28">
        <f>IF(Segments!$C$39="Not In Use",0, (IF(Segments!$F$39="Rectangular",Segments!$D$42*D114-Segments!$D$43, IF(Segments!$C$39="Pipe",Segments!$D$42,Segments!$D$42*D114))))</f>
        <v>0</v>
      </c>
      <c r="I114" s="31">
        <f>IF(Segments!$C$4="Not In Use", 0, IF(C114=0,0,H114*E114/C114))</f>
        <v>0</v>
      </c>
      <c r="J114" s="19">
        <f>IF(I114=0, 0,IF(Segments!$D$39="Chlorine", (I114*EXP(0.071*G114)-0.42)/2.94, IF(Segments!$D$39="Chlorine Dioxide", (I114*EXP(0.072*G114)+35.15)/21.25, IF(Segments!$D$39="Ozone", (I114*EXP(0.068*G114)-0.01)/0.47, IF(Segments!$D$39="Chloramines", (I114*EXP(0.071*G114)+410.7)/849.5, 0)))))</f>
        <v>0</v>
      </c>
      <c r="K114" s="18">
        <f>IF(I114=0, 0,IF(Segments!$D$39="Chlorine", I114/(0.2828*F114^2.69*E114^0.15*0.933^(G114-5)), IF(Segments!$D$39="Chlorine Dioxide", ((I114*G114^0.49)+0.18)/23.85, IF(Segments!$D$39="Ozone", (I114*EXP(0.072*G114)-0.01)/0.98, IF(Segments!$D$39="Chloramines", (I114/(858.5-(24.3*G114))), 0)))))</f>
        <v>0</v>
      </c>
      <c r="L114" s="25">
        <f t="shared" si="50"/>
        <v>0</v>
      </c>
      <c r="M114" s="19">
        <f t="shared" si="51"/>
        <v>0</v>
      </c>
      <c r="O114" s="80"/>
      <c r="P114" s="3" t="str">
        <f>Segments!$C$39</f>
        <v>Filtration</v>
      </c>
      <c r="Q114" s="33"/>
      <c r="R114" s="33"/>
      <c r="S114" s="33"/>
      <c r="T114" s="33"/>
      <c r="U114" s="35"/>
      <c r="V114" s="28">
        <f>IF(Segments!$C$39="Not In Use",0, (IF(Segments!$F$39="Rectangular",Segments!$D$42*R114-Segments!$D$43, IF(Segments!$C$39="Pipe",Segments!$D$42,Segments!$D$42*R114))))</f>
        <v>0</v>
      </c>
      <c r="W114" s="31">
        <f>IF(Segments!$C$4="Not In Use", 0, IF(Q114=0,0,V114*S114/Q114))</f>
        <v>0</v>
      </c>
      <c r="X114" s="19">
        <f>IF(W114=0, 0,IF(Segments!$D$39="Chlorine", (W114*EXP(0.071*U114)-0.42)/2.94, IF(Segments!$D$39="Chlorine Dioxide", (W114*EXP(0.072*U114)+35.15)/21.25, IF(Segments!$D$39="Ozone", (W114*EXP(0.068*U114)-0.01)/0.47, IF(Segments!$D$39="Chloramines", (W114*EXP(0.071*U114)+410.7)/849.5, 0)))))</f>
        <v>0</v>
      </c>
      <c r="Y114" s="18">
        <f>IF(W114=0, 0,IF(Segments!$D$39="Chlorine", W114/(0.2828*T114^2.69*S114^0.15*0.933^(U114-5)), IF(Segments!$D$39="Chlorine Dioxide", ((W114*U114^0.49)+0.18)/23.85, IF(Segments!$D$39="Ozone", (W114*EXP(0.072*U114)-0.01)/0.98, IF(Segments!$D$39="Chloramines", (W114/(858.5-(24.3*U114))), 0)))))</f>
        <v>0</v>
      </c>
      <c r="Z114" s="25">
        <f t="shared" si="52"/>
        <v>0</v>
      </c>
      <c r="AA114" s="19">
        <f t="shared" si="53"/>
        <v>0</v>
      </c>
    </row>
    <row r="115" spans="1:27" ht="13.5" thickBot="1" x14ac:dyDescent="0.25">
      <c r="A115" s="80"/>
      <c r="B115" s="3" t="str">
        <f>Segments!$C$50</f>
        <v>Clearwell</v>
      </c>
      <c r="C115" s="33"/>
      <c r="D115" s="33"/>
      <c r="E115" s="33"/>
      <c r="F115" s="33"/>
      <c r="G115" s="35"/>
      <c r="H115" s="28">
        <f>IF(Segments!$C$50="Not In Use",0, (IF(Segments!$F$50="Rectangular",Segments!$D$53*D115-Segments!$D$54, IF(Segments!$C$50="Pipe",Segments!$D$53,Segments!$D$53*D115))))</f>
        <v>0</v>
      </c>
      <c r="I115" s="31">
        <f>IF(Segments!$C$4="Not In Use", 0, IF(C115=0,0,H115*E115/C115))</f>
        <v>0</v>
      </c>
      <c r="J115" s="19">
        <f>IF(I115=0, 0,IF(Segments!$D$50="Chlorine", (I115*EXP(0.071*G115)-0.42)/2.94, IF(Segments!$D$50="Chlorine Dioxide", (I115*EXP(0.072*G115)+35.15)/21.25, IF(Segments!$D$50="Ozone", (I115*EXP(0.068*G115)-0.01)/0.47, IF(Segments!$D$50="Chloramines", (I115*EXP(0.071*G115)+410.7)/849.5, 0)))))</f>
        <v>0</v>
      </c>
      <c r="K115" s="18">
        <f>IF(I115=0, 0,IF(Segments!$D$50="Chlorine", I115/(0.2828*F115^2.69*E115^0.15*0.933^(G115-5)), IF(Segments!$D$50="Chlorine Dioxide", ((I115*G115^0.49)+0.18)/23.85, IF(Segments!$D$50="Ozone", (I115*EXP(0.072*G115)-0.01)/0.98, IF(Segments!$D$50="Chloramines", (I115/(858.5-(24.3*G115))), 0)))))</f>
        <v>0</v>
      </c>
      <c r="L115" s="25">
        <f t="shared" si="50"/>
        <v>0</v>
      </c>
      <c r="M115" s="19">
        <f t="shared" si="51"/>
        <v>0</v>
      </c>
      <c r="O115" s="80"/>
      <c r="P115" s="3" t="str">
        <f>Segments!$C$50</f>
        <v>Clearwell</v>
      </c>
      <c r="Q115" s="33"/>
      <c r="R115" s="33"/>
      <c r="S115" s="33"/>
      <c r="T115" s="33"/>
      <c r="U115" s="35"/>
      <c r="V115" s="28">
        <f>IF(Segments!$C$50="Not In Use",0, (IF(Segments!$F$50="Rectangular",Segments!$D$53*R115-Segments!$D$54, IF(Segments!$C$50="Pipe",Segments!$D$53,Segments!$D$53*R115))))</f>
        <v>0</v>
      </c>
      <c r="W115" s="31">
        <f>IF(Segments!$C$4="Not In Use", 0, IF(Q115=0,0,V115*S115/Q115))</f>
        <v>0</v>
      </c>
      <c r="X115" s="19">
        <f>IF(W115=0, 0,IF(Segments!$D$50="Chlorine", (W115*EXP(0.071*U115)-0.42)/2.94, IF(Segments!$D$50="Chlorine Dioxide", (W115*EXP(0.072*U115)+35.15)/21.25, IF(Segments!$D$50="Ozone", (W115*EXP(0.068*U115)-0.01)/0.47, IF(Segments!$D$50="Chloramines", (W115*EXP(0.071*U115)+410.7)/849.5, 0)))))</f>
        <v>0</v>
      </c>
      <c r="Y115" s="18">
        <f>IF(W115=0, 0,IF(Segments!$D$50="Chlorine", W115/(0.2828*T115^2.69*S115^0.15*0.933^(U115-5)), IF(Segments!$D$50="Chlorine Dioxide", ((W115*U115^0.49)+0.18)/23.85, IF(Segments!$D$50="Ozone", (W115*EXP(0.072*U115)-0.01)/0.98, IF(Segments!$D$50="Chloramines", (W115/(858.5-(24.3*U115))), 0)))))</f>
        <v>0</v>
      </c>
      <c r="Z115" s="25">
        <f t="shared" si="52"/>
        <v>0</v>
      </c>
      <c r="AA115" s="19">
        <f t="shared" si="53"/>
        <v>0</v>
      </c>
    </row>
    <row r="116" spans="1:27" ht="13.5" thickBot="1" x14ac:dyDescent="0.25">
      <c r="A116" s="80"/>
      <c r="B116" s="3" t="str">
        <f>Segments!$C$61</f>
        <v>Not In Use</v>
      </c>
      <c r="C116" s="33"/>
      <c r="D116" s="33"/>
      <c r="E116" s="33"/>
      <c r="F116" s="33"/>
      <c r="G116" s="35"/>
      <c r="H116" s="28">
        <f>IF(Segments!$C$61="Not In Use",0, (IF(Segments!$F$61="Rectangular",Segments!$D$64*D116-Segments!$D$65, IF(Segments!$C$61="Pipe",Segments!$D$64,Segments!$D$64*D116))))</f>
        <v>0</v>
      </c>
      <c r="I116" s="31">
        <f>IF(Segments!$C$4="Not In Use", 0, IF(C116=0,0,H116*E116/C116))</f>
        <v>0</v>
      </c>
      <c r="J116" s="19">
        <f>IF(I116=0, 0,IF(Segments!$D$61="Chlorine", (I116*EXP(0.071*G116)-0.42)/2.94, IF(Segments!$D$61="Chlorine Dioxide", (I116*EXP(0.072*G116)+35.15)/21.25, IF(Segments!$D$61="Ozone", (I116*EXP(0.068*G116)-0.01)/0.47, IF(Segments!$D$61="Chloramines", (I116*EXP(0.071*G116)+410.7)/849.5, 0)))))</f>
        <v>0</v>
      </c>
      <c r="K116" s="18">
        <f>IF(I116=0, 0,IF(Segments!$D$61="Chlorine", I116/(0.2828*F116^2.69*E116^0.15*0.933^(G116-5)), IF(Segments!$D$61="Chlorine Dioxide", ((I116*G116^0.49)+0.18)/23.85, IF(Segments!$D$61="Ozone", (I116*EXP(0.072*G116)-0.01)/0.98, IF(Segments!$D$61="Chloramines", (I116/(858.5-(24.3*G116))), 0)))))</f>
        <v>0</v>
      </c>
      <c r="L116" s="25">
        <f t="shared" si="50"/>
        <v>0</v>
      </c>
      <c r="M116" s="19">
        <f t="shared" si="51"/>
        <v>0</v>
      </c>
      <c r="O116" s="80"/>
      <c r="P116" s="3" t="str">
        <f>Segments!$C$61</f>
        <v>Not In Use</v>
      </c>
      <c r="Q116" s="33"/>
      <c r="R116" s="33"/>
      <c r="S116" s="33"/>
      <c r="T116" s="33"/>
      <c r="U116" s="35"/>
      <c r="V116" s="28">
        <f>IF(Segments!$C$61="Not In Use",0, (IF(Segments!$F$61="Rectangular",Segments!$D$64*R116-Segments!$D$65, IF(Segments!$C$61="Pipe",Segments!$D$64,Segments!$D$64*R116))))</f>
        <v>0</v>
      </c>
      <c r="W116" s="31">
        <f>IF(Segments!$C$4="Not In Use", 0, IF(Q116=0,0,V116*S116/Q116))</f>
        <v>0</v>
      </c>
      <c r="X116" s="19">
        <f>IF(W116=0, 0,IF(Segments!$D$61="Chlorine", (W116*EXP(0.071*U116)-0.42)/2.94, IF(Segments!$D$61="Chlorine Dioxide", (W116*EXP(0.072*U116)+35.15)/21.25, IF(Segments!$D$61="Ozone", (W116*EXP(0.068*U116)-0.01)/0.47, IF(Segments!$D$61="Chloramines", (W116*EXP(0.071*U116)+410.7)/849.5, 0)))))</f>
        <v>0</v>
      </c>
      <c r="Y116" s="18">
        <f>IF(W116=0, 0,IF(Segments!$D$61="Chlorine", W116/(0.2828*T116^2.69*S116^0.15*0.933^(U116-5)), IF(Segments!$D$61="Chlorine Dioxide", ((W116*U116^0.49)+0.18)/23.85, IF(Segments!$D$61="Ozone", (W116*EXP(0.072*U116)-0.01)/0.98, IF(Segments!$D$61="Chloramines", (W116/(858.5-(24.3*U116))), 0)))))</f>
        <v>0</v>
      </c>
      <c r="Z116" s="25">
        <f t="shared" si="52"/>
        <v>0</v>
      </c>
      <c r="AA116" s="19">
        <f t="shared" si="53"/>
        <v>0</v>
      </c>
    </row>
    <row r="117" spans="1:27" ht="13.5" thickBot="1" x14ac:dyDescent="0.25">
      <c r="A117" s="80"/>
      <c r="B117" s="3" t="str">
        <f>Segments!$C$74</f>
        <v>Not In Use</v>
      </c>
      <c r="C117" s="33"/>
      <c r="D117" s="33"/>
      <c r="E117" s="33"/>
      <c r="F117" s="33"/>
      <c r="G117" s="35"/>
      <c r="H117" s="28">
        <f>IF(Segments!$C$74="Not In Use",0, (IF(Segments!$F$74="Rectangular",Segments!$D$77*D117-Segments!$D$78, IF(Segments!$C$74="Pipe",Segments!$D$77,Segments!$D$77*D117))))</f>
        <v>0</v>
      </c>
      <c r="I117" s="31">
        <f>IF(Segments!$C$4="Not In Use", 0, IF(C117=0,0,H117*E117/C117))</f>
        <v>0</v>
      </c>
      <c r="J117" s="19">
        <f>IF(I117=0, 0,IF(Segments!$D$74="Chlorine", (I117*EXP(0.071*G117)-0.42)/2.94, IF(Segments!$D$74="Chlorine Dioxide", (I117*EXP(0.072*G117)+35.15)/21.25, IF(Segments!$D$74="Ozone", (I117*EXP(0.068*G117)-0.01)/0.47, IF(Segments!$D$74="Chloramines", (I117*EXP(0.071*G117)+410.7)/849.5, 0)))))</f>
        <v>0</v>
      </c>
      <c r="K117" s="18">
        <f>IF(I117=0, 0,IF(Segments!$D$74="Chlorine", I117/(0.2828*F117^2.69*E117^0.15*0.933^(G117-5)), IF(Segments!$D$74="Chlorine Dioxide", ((I117*G117^0.49)+0.18)/23.85, IF(Segments!$D$74="Ozone", (I117*EXP(0.072*G117)-0.01)/0.98, IF(Segments!$D$74="Chloramines", (I117/(858.5-(24.3*G117))), 0)))))</f>
        <v>0</v>
      </c>
      <c r="L117" s="25">
        <f t="shared" si="50"/>
        <v>0</v>
      </c>
      <c r="M117" s="19">
        <f t="shared" si="51"/>
        <v>0</v>
      </c>
      <c r="O117" s="80"/>
      <c r="P117" s="3" t="str">
        <f>Segments!$C$74</f>
        <v>Not In Use</v>
      </c>
      <c r="Q117" s="33"/>
      <c r="R117" s="33"/>
      <c r="S117" s="33"/>
      <c r="T117" s="33"/>
      <c r="U117" s="35"/>
      <c r="V117" s="28">
        <f>IF(Segments!$C$74="Not In Use",0, (IF(Segments!$F$74="Rectangular",Segments!$D$77*R117-Segments!$D$78, IF(Segments!$C$74="Pipe",Segments!$D$77,Segments!$D$77*R117))))</f>
        <v>0</v>
      </c>
      <c r="W117" s="31">
        <f>IF(Segments!$C$4="Not In Use", 0, IF(Q117=0,0,V117*S117/Q117))</f>
        <v>0</v>
      </c>
      <c r="X117" s="19">
        <f>IF(W117=0, 0,IF(Segments!$D$74="Chlorine", (W117*EXP(0.071*U117)-0.42)/2.94, IF(Segments!$D$74="Chlorine Dioxide", (W117*EXP(0.072*U117)+35.15)/21.25, IF(Segments!$D$74="Ozone", (W117*EXP(0.068*U117)-0.01)/0.47, IF(Segments!$D$74="Chloramines", (W117*EXP(0.071*U117)+410.7)/849.5, 0)))))</f>
        <v>0</v>
      </c>
      <c r="Y117" s="18">
        <f>IF(W117=0, 0,IF(Segments!$D$74="Chlorine", W117/(0.2828*T117^2.69*S117^0.15*0.933^(U117-5)), IF(Segments!$D$74="Chlorine Dioxide", ((W117*U117^0.49)+0.18)/23.85, IF(Segments!$D$74="Ozone", (W117*EXP(0.072*U117)-0.01)/0.98, IF(Segments!$D$74="Chloramines", (W117/(858.5-(24.3*U117))), 0)))))</f>
        <v>0</v>
      </c>
      <c r="Z117" s="25">
        <f t="shared" si="52"/>
        <v>0</v>
      </c>
      <c r="AA117" s="19">
        <f t="shared" si="53"/>
        <v>0</v>
      </c>
    </row>
    <row r="118" spans="1:27" ht="13.5" thickBot="1" x14ac:dyDescent="0.25">
      <c r="A118" s="80"/>
      <c r="B118" s="3" t="str">
        <f>Segments!$C$85</f>
        <v>Not In Use</v>
      </c>
      <c r="C118" s="33"/>
      <c r="D118" s="33"/>
      <c r="E118" s="33"/>
      <c r="F118" s="33"/>
      <c r="G118" s="35"/>
      <c r="H118" s="28">
        <f>IF(Segments!$C$85="Not In Use",0, (IF(Segments!$F$85="Rectangular",Segments!$D$88*D118-Segments!$D$89, IF(Segments!$C$85="Pipe",Segments!$D$88,Segments!$D$88*D118))))</f>
        <v>0</v>
      </c>
      <c r="I118" s="31">
        <f>IF(Segments!$C$4="Not In Use", 0, IF(C118=0,0,H118*E118/C118))</f>
        <v>0</v>
      </c>
      <c r="J118" s="19">
        <f>IF(I118=0, 0,IF(Segments!$D$85="Chlorine", (I118*EXP(0.071*G118)-0.42)/2.94, IF(Segments!$D$85="Chlorine Dioxide", (I118*EXP(0.072*G118)+35.15)/21.25, IF(Segments!$D$85="Ozone", (I118*EXP(0.068*G118)-0.01)/0.47, IF(Segments!$D$85="Chloramines", (I118*EXP(0.071*G118)+410.7)/849.5, 0)))))</f>
        <v>0</v>
      </c>
      <c r="K118" s="18">
        <f>IF(I118=0, 0,IF(Segments!$D$85="Chlorine", I118/(0.2828*F118^2.69*E118^0.15*0.933^(G118-5)), IF(Segments!$D$85="Chlorine Dioxide", ((I118*G118^0.49)+0.18)/23.85, IF(Segments!$D$85="Ozone", (I118*EXP(0.072*G118)-0.01)/0.98, IF(Segments!$D$85="Chloramines", (I118/(858.5-(24.3*G118))), 0)))))</f>
        <v>0</v>
      </c>
      <c r="L118" s="25">
        <f t="shared" si="50"/>
        <v>0</v>
      </c>
      <c r="M118" s="19">
        <f t="shared" si="51"/>
        <v>0</v>
      </c>
      <c r="O118" s="80"/>
      <c r="P118" s="3" t="str">
        <f>Segments!$C$85</f>
        <v>Not In Use</v>
      </c>
      <c r="Q118" s="33"/>
      <c r="R118" s="33"/>
      <c r="S118" s="33"/>
      <c r="T118" s="33"/>
      <c r="U118" s="35"/>
      <c r="V118" s="28">
        <f>IF(Segments!$C$85="Not In Use",0, (IF(Segments!$F$85="Rectangular",Segments!$D$88*R118-Segments!$D$89, IF(Segments!$C$85="Pipe",Segments!$D$88,Segments!$D$88*R118))))</f>
        <v>0</v>
      </c>
      <c r="W118" s="31">
        <f>IF(Segments!$C$4="Not In Use", 0, IF(Q118=0,0,V118*S118/Q118))</f>
        <v>0</v>
      </c>
      <c r="X118" s="19">
        <f>IF(W118=0, 0,IF(Segments!$D$85="Chlorine", (W118*EXP(0.071*U118)-0.42)/2.94, IF(Segments!$D$85="Chlorine Dioxide", (W118*EXP(0.072*U118)+35.15)/21.25, IF(Segments!$D$85="Ozone", (W118*EXP(0.068*U118)-0.01)/0.47, IF(Segments!$D$85="Chloramines", (W118*EXP(0.071*U118)+410.7)/849.5, 0)))))</f>
        <v>0</v>
      </c>
      <c r="Y118" s="18">
        <f>IF(W118=0, 0,IF(Segments!$D$85="Chlorine", W118/(0.2828*T118^2.69*S118^0.15*0.933^(U118-5)), IF(Segments!$D$85="Chlorine Dioxide", ((W118*U118^0.49)+0.18)/23.85, IF(Segments!$D$85="Ozone", (W118*EXP(0.072*U118)-0.01)/0.98, IF(Segments!$D$85="Chloramines", (W118/(858.5-(24.3*U118))), 0)))))</f>
        <v>0</v>
      </c>
      <c r="Z118" s="25">
        <f t="shared" si="52"/>
        <v>0</v>
      </c>
      <c r="AA118" s="19">
        <f t="shared" si="53"/>
        <v>0</v>
      </c>
    </row>
    <row r="119" spans="1:27" ht="13.5" thickBot="1" x14ac:dyDescent="0.25">
      <c r="A119" s="80"/>
      <c r="B119" s="3" t="str">
        <f>Segments!$C$96</f>
        <v>Not In Use</v>
      </c>
      <c r="C119" s="36"/>
      <c r="D119" s="36"/>
      <c r="E119" s="36"/>
      <c r="F119" s="36"/>
      <c r="G119" s="34"/>
      <c r="H119" s="29">
        <f>IF(Segments!$C$96="Not In Use",0, (IF(Segments!$F$96="Rectangular",Segments!$D$99*D119-Segments!$D$100, IF(Segments!$C$96="Pipe",Segments!$D$99,Segments!$D$99*D119))))</f>
        <v>0</v>
      </c>
      <c r="I119" s="32">
        <f>IF(Segments!$C$4="Not In Use", 0, IF(C119=0,0,H119*E119/C119))</f>
        <v>0</v>
      </c>
      <c r="J119" s="19">
        <f>IF(I119=0, 0,IF(Segments!$D$96="Chlorine", (I119*EXP(0.071*G119)-0.42)/2.94, IF(Segments!$D$96="Chlorine Dioxide", (I119*EXP(0.072*G119)+35.15)/21.25, IF(Segments!$D$96="Ozone", (I119*EXP(0.068*G119)-0.01)/0.47, IF(Segments!$D$96="Chloramines", (I119*EXP(0.071*G119)+410.7)/849.5, 0)))))</f>
        <v>0</v>
      </c>
      <c r="K119" s="18">
        <f>IF(I119=0, 0,IF(Segments!$D$96="Chlorine", I119/(0.2828*F119^2.69*E119^0.15*0.933^(G119-5)), IF(Segments!$D$96="Chlorine Dioxide", ((I119*G119^0.49)+0.18)/23.85, IF(Segments!$D$96="Ozone", (I119*EXP(0.072*G119)-0.01)/0.98, IF(Segments!$D$96="Chloramines", (I119/(858.5-(24.3*G119))), 0)))))</f>
        <v>0</v>
      </c>
      <c r="L119" s="25">
        <f t="shared" si="50"/>
        <v>0</v>
      </c>
      <c r="M119" s="19">
        <f t="shared" si="51"/>
        <v>0</v>
      </c>
      <c r="O119" s="80"/>
      <c r="P119" s="3" t="str">
        <f>Segments!$C$96</f>
        <v>Not In Use</v>
      </c>
      <c r="Q119" s="36"/>
      <c r="R119" s="36"/>
      <c r="S119" s="36"/>
      <c r="T119" s="36"/>
      <c r="U119" s="34"/>
      <c r="V119" s="29">
        <f>IF(Segments!$C$96="Not In Use",0, (IF(Segments!$F$96="Rectangular",Segments!$D$99*R119-Segments!$D$100, IF(Segments!$C$96="Pipe",Segments!$D$99,Segments!$D$99*R119))))</f>
        <v>0</v>
      </c>
      <c r="W119" s="32">
        <f>IF(Segments!$C$4="Not In Use", 0, IF(Q119=0,0,V119*S119/Q119))</f>
        <v>0</v>
      </c>
      <c r="X119" s="19">
        <f>IF(W119=0, 0,IF(Segments!$D$96="Chlorine", (W119*EXP(0.071*U119)-0.42)/2.94, IF(Segments!$D$96="Chlorine Dioxide", (W119*EXP(0.072*U119)+35.15)/21.25, IF(Segments!$D$96="Ozone", (W119*EXP(0.068*U119)-0.01)/0.47, IF(Segments!$D$96="Chloramines", (W119*EXP(0.071*U119)+410.7)/849.5, 0)))))</f>
        <v>0</v>
      </c>
      <c r="Y119" s="18">
        <f>IF(W119=0, 0,IF(Segments!$D$96="Chlorine", W119/(0.2828*T119^2.69*S119^0.15*0.933^(U119-5)), IF(Segments!$D$96="Chlorine Dioxide", ((W119*U119^0.49)+0.18)/23.85, IF(Segments!$D$96="Ozone", (W119*EXP(0.072*U119)-0.01)/0.98, IF(Segments!$D$96="Chloramines", (W119/(858.5-(24.3*U119))), 0)))))</f>
        <v>0</v>
      </c>
      <c r="Z119" s="25">
        <f t="shared" si="52"/>
        <v>0</v>
      </c>
      <c r="AA119" s="19">
        <f t="shared" si="53"/>
        <v>0</v>
      </c>
    </row>
    <row r="120" spans="1:27" ht="13.5" thickBot="1" x14ac:dyDescent="0.25">
      <c r="A120" s="81"/>
      <c r="B120" s="22" t="s">
        <v>42</v>
      </c>
      <c r="C120" s="23"/>
      <c r="D120" s="23"/>
      <c r="E120" s="23"/>
      <c r="F120" s="23"/>
      <c r="G120" s="23"/>
      <c r="H120" s="26"/>
      <c r="I120" s="50">
        <f>SUM(I111:I119)</f>
        <v>3.4774987499999996</v>
      </c>
      <c r="J120" s="50">
        <f>SUM(J111:J119)</f>
        <v>3.8118387403764853</v>
      </c>
      <c r="K120" s="50">
        <f>SUM(K111:K119)</f>
        <v>0.10704198790186656</v>
      </c>
      <c r="L120" s="50">
        <f>SUM(L111:L119)</f>
        <v>0.95295968509412132</v>
      </c>
      <c r="M120" s="50">
        <f>SUM(M111:M119)</f>
        <v>3.5680662633955522E-2</v>
      </c>
      <c r="O120" s="81"/>
      <c r="P120" s="22" t="s">
        <v>42</v>
      </c>
      <c r="Q120" s="23"/>
      <c r="R120" s="23"/>
      <c r="S120" s="23"/>
      <c r="T120" s="23"/>
      <c r="U120" s="23"/>
      <c r="V120" s="26"/>
      <c r="W120" s="50">
        <f>SUM(W111:W119)</f>
        <v>4.7063892857142857</v>
      </c>
      <c r="X120" s="50">
        <f>SUM(X111:X119)</f>
        <v>4.5008426918913518</v>
      </c>
      <c r="Y120" s="50">
        <f>SUM(Y111:Y119)</f>
        <v>0.13869586604212908</v>
      </c>
      <c r="Z120" s="50">
        <f>SUM(Z111:Z119)</f>
        <v>1.1252106729728379</v>
      </c>
      <c r="AA120" s="50">
        <f>SUM(AA111:AA119)</f>
        <v>4.6231955347376362E-2</v>
      </c>
    </row>
    <row r="121" spans="1:27" ht="6" customHeight="1" thickBot="1" x14ac:dyDescent="0.25">
      <c r="A121" s="15"/>
      <c r="B121" s="15"/>
      <c r="C121" s="15"/>
      <c r="D121" s="15"/>
      <c r="E121" s="15"/>
      <c r="F121" s="15"/>
      <c r="G121" s="15"/>
      <c r="H121" s="15"/>
      <c r="I121" s="15"/>
      <c r="J121" s="15"/>
      <c r="K121" s="15"/>
      <c r="L121" s="15"/>
      <c r="M121" s="15"/>
      <c r="O121" s="15"/>
      <c r="P121" s="15"/>
      <c r="Q121" s="15"/>
      <c r="R121" s="15"/>
      <c r="S121" s="15"/>
      <c r="T121" s="15"/>
      <c r="U121" s="15"/>
      <c r="V121" s="15"/>
      <c r="W121" s="15"/>
      <c r="X121" s="15"/>
      <c r="Y121" s="15"/>
      <c r="Z121" s="15"/>
      <c r="AA121" s="15"/>
    </row>
    <row r="122" spans="1:27" ht="51.75" thickBot="1" x14ac:dyDescent="0.25">
      <c r="A122" s="79" t="s">
        <v>59</v>
      </c>
      <c r="B122" s="6" t="s">
        <v>23</v>
      </c>
      <c r="C122" s="16" t="s">
        <v>83</v>
      </c>
      <c r="D122" s="6" t="s">
        <v>38</v>
      </c>
      <c r="E122" s="16" t="s">
        <v>45</v>
      </c>
      <c r="F122" s="16" t="s">
        <v>6</v>
      </c>
      <c r="G122" s="16" t="s">
        <v>37</v>
      </c>
      <c r="H122" s="16" t="s">
        <v>35</v>
      </c>
      <c r="I122" s="16" t="s">
        <v>46</v>
      </c>
      <c r="J122" s="16" t="s">
        <v>39</v>
      </c>
      <c r="K122" s="16" t="s">
        <v>40</v>
      </c>
      <c r="L122" s="16" t="s">
        <v>41</v>
      </c>
      <c r="M122" s="17" t="s">
        <v>36</v>
      </c>
      <c r="O122" s="79" t="s">
        <v>66</v>
      </c>
      <c r="P122" s="6" t="s">
        <v>23</v>
      </c>
      <c r="Q122" s="16" t="s">
        <v>83</v>
      </c>
      <c r="R122" s="6" t="s">
        <v>38</v>
      </c>
      <c r="S122" s="16" t="s">
        <v>45</v>
      </c>
      <c r="T122" s="16" t="s">
        <v>6</v>
      </c>
      <c r="U122" s="16" t="s">
        <v>37</v>
      </c>
      <c r="V122" s="16" t="s">
        <v>35</v>
      </c>
      <c r="W122" s="16" t="s">
        <v>46</v>
      </c>
      <c r="X122" s="16" t="s">
        <v>39</v>
      </c>
      <c r="Y122" s="16" t="s">
        <v>40</v>
      </c>
      <c r="Z122" s="16" t="s">
        <v>41</v>
      </c>
      <c r="AA122" s="17" t="s">
        <v>36</v>
      </c>
    </row>
    <row r="123" spans="1:27" ht="13.5" thickBot="1" x14ac:dyDescent="0.25">
      <c r="A123" s="80"/>
      <c r="B123" s="3" t="str">
        <f>Segments!$C$4</f>
        <v>Rapid Mix</v>
      </c>
      <c r="C123" s="34">
        <v>1600</v>
      </c>
      <c r="D123" s="33">
        <v>11</v>
      </c>
      <c r="E123" s="33">
        <v>1.6</v>
      </c>
      <c r="F123" s="33">
        <v>7.5</v>
      </c>
      <c r="G123" s="35">
        <v>16</v>
      </c>
      <c r="H123" s="27">
        <f>IF(Segments!$C$4="Not In Use",0, (IF(Segments!$F$4="Rectangular",Segments!$D$7*D123-Segments!$D$8, IF(Segments!$C$4="Pipe",Segments!$D$7,Segments!$D$7*D123))))</f>
        <v>4026.5775000000003</v>
      </c>
      <c r="I123" s="30">
        <f>IF(Segments!$C$4="Not In Use", 0, IF(C123=0,0,H123*E123/C123))</f>
        <v>4.026577500000001</v>
      </c>
      <c r="J123" s="21">
        <f>IF(I123=0, 0,IF(Segments!$D$4="Chlorine", (I123*EXP(0.071*G123)-0.42)/2.94, IF(Segments!$D$4="Chlorine Dioxide", (I123*EXP(0.072*G123)+35.15)/21.25, IF(Segments!$D$4="Ozone", (I123*EXP(0.068*G123)-0.01)/0.47, IF(Segments!$D$4="Chloramines", (I123*EXP(0.071*G123)+410.7)/849.5, 0)))))</f>
        <v>4.1224200794634838</v>
      </c>
      <c r="K123" s="20">
        <f>IF(I123=0, 0,IF(Segments!$D$4="Chlorine", I123/(0.2828*F123^2.69*E123^0.15*0.933^(G123-5)), IF(Segments!$D$4="Chlorine Dioxide", ((I123*G123^0.49)+0.18)/23.85, IF(Segments!$D$4="Ozone", (I123*EXP(0.072*G123)-0.01)/0.98, IF(Segments!$D$4="Chloramines", (I123/(858.5-(24.3*G123))), 0)))))</f>
        <v>0.12595800696326448</v>
      </c>
      <c r="L123" s="24">
        <f>J123/4</f>
        <v>1.0306050198658709</v>
      </c>
      <c r="M123" s="21">
        <f>K123/3</f>
        <v>4.1986002321088157E-2</v>
      </c>
      <c r="O123" s="80"/>
      <c r="P123" s="3" t="str">
        <f>Segments!$C$4</f>
        <v>Rapid Mix</v>
      </c>
      <c r="Q123" s="34">
        <v>1400</v>
      </c>
      <c r="R123" s="33">
        <v>7</v>
      </c>
      <c r="S123" s="33">
        <v>1.5</v>
      </c>
      <c r="T123" s="33">
        <v>7.2</v>
      </c>
      <c r="U123" s="35">
        <v>15</v>
      </c>
      <c r="V123" s="27">
        <f>IF(Segments!$C$4="Not In Use",0, (IF(Segments!$F$4="Rectangular",Segments!$D$7*R123-Segments!$D$8, IF(Segments!$C$4="Pipe",Segments!$D$7,Segments!$D$7*R123))))</f>
        <v>2562.3675000000003</v>
      </c>
      <c r="W123" s="30">
        <f>IF(Segments!$C$4="Not In Use", 0, IF(Q123=0,0,V123*S123/Q123))</f>
        <v>2.7453937500000003</v>
      </c>
      <c r="X123" s="21">
        <f>IF(W123=0, 0,IF(Segments!$D$4="Chlorine", (W123*EXP(0.071*U123)-0.42)/2.94, IF(Segments!$D$4="Chlorine Dioxide", (W123*EXP(0.072*U123)+35.15)/21.25, IF(Segments!$D$4="Ozone", (W123*EXP(0.068*U123)-0.01)/0.47, IF(Segments!$D$4="Chloramines", (W123*EXP(0.071*U123)+410.7)/849.5, 0)))))</f>
        <v>2.5659677607461462</v>
      </c>
      <c r="Y123" s="20">
        <f>IF(W123=0, 0,IF(Segments!$D$4="Chlorine", W123/(0.2828*T123^2.69*S123^0.15*0.933^(U123-5)), IF(Segments!$D$4="Chlorine Dioxide", ((W123*U123^0.49)+0.18)/23.85, IF(Segments!$D$4="Ozone", (W123*EXP(0.072*U123)-0.01)/0.98, IF(Segments!$D$4="Chloramines", (W123/(858.5-(24.3*U123))), 0)))))</f>
        <v>9.0296453622831271E-2</v>
      </c>
      <c r="Z123" s="24">
        <f>X123/4</f>
        <v>0.64149194018653655</v>
      </c>
      <c r="AA123" s="21">
        <f>Y123/3</f>
        <v>3.0098817874277092E-2</v>
      </c>
    </row>
    <row r="124" spans="1:27" ht="13.5" thickBot="1" x14ac:dyDescent="0.25">
      <c r="A124" s="80"/>
      <c r="B124" s="3" t="str">
        <f>Segments!$C$15</f>
        <v>Flocculation</v>
      </c>
      <c r="C124" s="33">
        <v>1600</v>
      </c>
      <c r="D124" s="33"/>
      <c r="E124" s="33">
        <v>1.6</v>
      </c>
      <c r="F124" s="33">
        <v>7.5</v>
      </c>
      <c r="G124" s="35">
        <v>16</v>
      </c>
      <c r="H124" s="28">
        <f>IF(Segments!$C$15="Not In Use",0, (IF(Segments!$F$15="Rectangular",Segments!$D$18*D124-Segments!$D$19, IF(Segments!$C$15="Pipe",Segments!$D$18,Segments!$D$18*D124))))</f>
        <v>0</v>
      </c>
      <c r="I124" s="31">
        <f>IF(Segments!$C$4="Not In Use", 0, IF(C124=0,0,H124*E124/C124))</f>
        <v>0</v>
      </c>
      <c r="J124" s="19">
        <f>IF(I124=0, 0,IF(Segments!$D$15="Chlorine", (I124*EXP(0.071*G124)-0.42)/2.94, IF(Segments!$D$15="Chlorine Dioxide", (I124*EXP(0.072*G124)+35.15)/21.25, IF(Segments!$D$15="Ozone", (I124*EXP(0.068*G124)-0.01)/0.47, IF(Segments!$D$15="Chloramines", (I124*EXP(0.071*G124)+410.7)/849.5, 0)))))</f>
        <v>0</v>
      </c>
      <c r="K124" s="18">
        <f>IF(I124=0, 0,IF(Segments!$D$15="Chlorine", I124/(0.2828*F124^2.69*E124^0.15*0.933^(G124-5)), IF(Segments!$D$15="Chlorine Dioxide", ((I124*G124^0.49)+0.18)/23.85, IF(Segments!$D$15="Ozone", (I124*exp^(0.072*G124)-0.01)/0.98, IF(Segments!$D$15="Chloramines", (I124/(858.5-(24.3*G124))), 0)))))</f>
        <v>0</v>
      </c>
      <c r="L124" s="25">
        <f t="shared" ref="L124:L131" si="54">J124/4</f>
        <v>0</v>
      </c>
      <c r="M124" s="19">
        <f t="shared" ref="M124:M131" si="55">K124/3</f>
        <v>0</v>
      </c>
      <c r="O124" s="80"/>
      <c r="P124" s="3" t="str">
        <f>Segments!$C$15</f>
        <v>Flocculation</v>
      </c>
      <c r="Q124" s="33">
        <v>1400</v>
      </c>
      <c r="R124" s="33"/>
      <c r="S124" s="33">
        <v>1.4</v>
      </c>
      <c r="T124" s="33">
        <v>7.2</v>
      </c>
      <c r="U124" s="35">
        <v>15</v>
      </c>
      <c r="V124" s="28">
        <f>IF(Segments!$C$15="Not In Use",0, (IF(Segments!$F$15="Rectangular",Segments!$D$18*R124-Segments!$D$19, IF(Segments!$C$15="Pipe",Segments!$D$18,Segments!$D$18*R124))))</f>
        <v>0</v>
      </c>
      <c r="W124" s="31">
        <f>IF(Segments!$C$4="Not In Use", 0, IF(Q124=0,0,V124*S124/Q124))</f>
        <v>0</v>
      </c>
      <c r="X124" s="19">
        <f>IF(W124=0, 0,IF(Segments!$D$15="Chlorine", (W124*EXP(0.071*U124)-0.42)/2.94, IF(Segments!$D$15="Chlorine Dioxide", (W124*EXP(0.072*U124)+35.15)/21.25, IF(Segments!$D$15="Ozone", (W124*EXP(0.068*U124)-0.01)/0.47, IF(Segments!$D$15="Chloramines", (W124*EXP(0.071*U124)+410.7)/849.5, 0)))))</f>
        <v>0</v>
      </c>
      <c r="Y124" s="18">
        <f>IF(W124=0, 0,IF(Segments!$D$15="Chlorine", W124/(0.2828*T124^2.69*S124^0.15*0.933^(U124-5)), IF(Segments!$D$15="Chlorine Dioxide", ((W124*U124^0.49)+0.18)/23.85, IF(Segments!$D$15="Ozone", (W124*exp^(0.072*U124)-0.01)/0.98, IF(Segments!$D$15="Chloramines", (W124/(858.5-(24.3*U124))), 0)))))</f>
        <v>0</v>
      </c>
      <c r="Z124" s="25">
        <f t="shared" ref="Z124:Z131" si="56">X124/4</f>
        <v>0</v>
      </c>
      <c r="AA124" s="19">
        <f t="shared" ref="AA124:AA131" si="57">Y124/3</f>
        <v>0</v>
      </c>
    </row>
    <row r="125" spans="1:27" ht="13.5" thickBot="1" x14ac:dyDescent="0.25">
      <c r="A125" s="80"/>
      <c r="B125" s="3" t="str">
        <f>Segments!$C$26</f>
        <v>Sedimentation</v>
      </c>
      <c r="C125" s="33"/>
      <c r="D125" s="33"/>
      <c r="E125" s="33"/>
      <c r="F125" s="33"/>
      <c r="G125" s="35"/>
      <c r="H125" s="28">
        <f>IF(Segments!$C$26="Not In Use",0, (IF(Segments!$F$26="Rectangular",Segments!$D$29*D125-Segments!$D$30, IF(Segments!$C$26="Pipe",Segments!$D$29,Segments!$D$29*D125))))</f>
        <v>0</v>
      </c>
      <c r="I125" s="31">
        <f>IF(Segments!$C$4="Not In Use", 0, IF(C125=0,0,H125*E125/C125))</f>
        <v>0</v>
      </c>
      <c r="J125" s="19">
        <f>IF(I125=0, 0,IF(Segments!$D$26="Chlorine", (I125*EXP(0.071*G125)-0.42)/2.94, IF(Segments!$D$26="Chlorine Dioxide", (I125*EXP(0.072*G125)+35.15)/21.25, IF(Segments!$D$26="Ozone", (I125*EXP(0.068*G125)-0.01)/0.47, IF(Segments!$D$26="Chloramines", (I125*EXP(0.071*G125)+410.7)/849.5, 0)))))</f>
        <v>0</v>
      </c>
      <c r="K125" s="18">
        <f>IF(I125=0, 0,IF(Segments!$D$26="Chlorine", I125/(0.2828*F125^2.69*E125^0.15*0.933^(G125-5)), IF(Segments!$D$26="Chlorine Dioxide", ((I125*G125^0.49)+0.18)/23.85, IF(Segments!$D$26="Ozone",((I125*EXP(0.072*G125)-0.01)/0.98),IF(Segments!$D$26="Chloramines", (I125/(858.5-(24.3*G125))), 0)))))</f>
        <v>0</v>
      </c>
      <c r="L125" s="25">
        <f t="shared" si="54"/>
        <v>0</v>
      </c>
      <c r="M125" s="19">
        <f t="shared" si="55"/>
        <v>0</v>
      </c>
      <c r="O125" s="80"/>
      <c r="P125" s="3" t="str">
        <f>Segments!$C$26</f>
        <v>Sedimentation</v>
      </c>
      <c r="Q125" s="33"/>
      <c r="R125" s="33"/>
      <c r="S125" s="33"/>
      <c r="T125" s="33"/>
      <c r="U125" s="35"/>
      <c r="V125" s="28">
        <f>IF(Segments!$C$26="Not In Use",0, (IF(Segments!$F$26="Rectangular",Segments!$D$29*R125-Segments!$D$30, IF(Segments!$C$26="Pipe",Segments!$D$29,Segments!$D$29*R125))))</f>
        <v>0</v>
      </c>
      <c r="W125" s="31">
        <f>IF(Segments!$C$4="Not In Use", 0, IF(Q125=0,0,V125*S125/Q125))</f>
        <v>0</v>
      </c>
      <c r="X125" s="19">
        <f>IF(W125=0, 0,IF(Segments!$D$26="Chlorine", (W125*EXP(0.071*U125)-0.42)/2.94, IF(Segments!$D$26="Chlorine Dioxide", (W125*EXP(0.072*U125)+35.15)/21.25, IF(Segments!$D$26="Ozone", (W125*EXP(0.068*U125)-0.01)/0.47, IF(Segments!$D$26="Chloramines", (W125*EXP(0.071*U125)+410.7)/849.5, 0)))))</f>
        <v>0</v>
      </c>
      <c r="Y125" s="18">
        <f>IF(W125=0, 0,IF(Segments!$D$26="Chlorine", W125/(0.2828*T125^2.69*S125^0.15*0.933^(U125-5)), IF(Segments!$D$26="Chlorine Dioxide", ((W125*U125^0.49)+0.18)/23.85, IF(Segments!$D$26="Ozone",((W125*EXP(0.072*U125)-0.01)/0.98),IF(Segments!$D$26="Chloramines", (W125/(858.5-(24.3*U125))), 0)))))</f>
        <v>0</v>
      </c>
      <c r="Z125" s="25">
        <f t="shared" si="56"/>
        <v>0</v>
      </c>
      <c r="AA125" s="19">
        <f t="shared" si="57"/>
        <v>0</v>
      </c>
    </row>
    <row r="126" spans="1:27" ht="13.5" thickBot="1" x14ac:dyDescent="0.25">
      <c r="A126" s="80"/>
      <c r="B126" s="3" t="str">
        <f>Segments!$C$39</f>
        <v>Filtration</v>
      </c>
      <c r="C126" s="33"/>
      <c r="D126" s="33"/>
      <c r="E126" s="33"/>
      <c r="F126" s="33"/>
      <c r="G126" s="35"/>
      <c r="H126" s="28">
        <f>IF(Segments!$C$39="Not In Use",0, (IF(Segments!$F$39="Rectangular",Segments!$D$42*D126-Segments!$D$43, IF(Segments!$C$39="Pipe",Segments!$D$42,Segments!$D$42*D126))))</f>
        <v>0</v>
      </c>
      <c r="I126" s="31">
        <f>IF(Segments!$C$4="Not In Use", 0, IF(C126=0,0,H126*E126/C126))</f>
        <v>0</v>
      </c>
      <c r="J126" s="19">
        <f>IF(I126=0, 0,IF(Segments!$D$39="Chlorine", (I126*EXP(0.071*G126)-0.42)/2.94, IF(Segments!$D$39="Chlorine Dioxide", (I126*EXP(0.072*G126)+35.15)/21.25, IF(Segments!$D$39="Ozone", (I126*EXP(0.068*G126)-0.01)/0.47, IF(Segments!$D$39="Chloramines", (I126*EXP(0.071*G126)+410.7)/849.5, 0)))))</f>
        <v>0</v>
      </c>
      <c r="K126" s="18">
        <f>IF(I126=0, 0,IF(Segments!$D$39="Chlorine", I126/(0.2828*F126^2.69*E126^0.15*0.933^(G126-5)), IF(Segments!$D$39="Chlorine Dioxide", ((I126*G126^0.49)+0.18)/23.85, IF(Segments!$D$39="Ozone", (I126*EXP(0.072*G126)-0.01)/0.98, IF(Segments!$D$39="Chloramines", (I126/(858.5-(24.3*G126))), 0)))))</f>
        <v>0</v>
      </c>
      <c r="L126" s="25">
        <f t="shared" si="54"/>
        <v>0</v>
      </c>
      <c r="M126" s="19">
        <f t="shared" si="55"/>
        <v>0</v>
      </c>
      <c r="O126" s="80"/>
      <c r="P126" s="3" t="str">
        <f>Segments!$C$39</f>
        <v>Filtration</v>
      </c>
      <c r="Q126" s="33"/>
      <c r="R126" s="33"/>
      <c r="S126" s="33"/>
      <c r="T126" s="33"/>
      <c r="U126" s="35"/>
      <c r="V126" s="28">
        <f>IF(Segments!$C$39="Not In Use",0, (IF(Segments!$F$39="Rectangular",Segments!$D$42*R126-Segments!$D$43, IF(Segments!$C$39="Pipe",Segments!$D$42,Segments!$D$42*R126))))</f>
        <v>0</v>
      </c>
      <c r="W126" s="31">
        <f>IF(Segments!$C$4="Not In Use", 0, IF(Q126=0,0,V126*S126/Q126))</f>
        <v>0</v>
      </c>
      <c r="X126" s="19">
        <f>IF(W126=0, 0,IF(Segments!$D$39="Chlorine", (W126*EXP(0.071*U126)-0.42)/2.94, IF(Segments!$D$39="Chlorine Dioxide", (W126*EXP(0.072*U126)+35.15)/21.25, IF(Segments!$D$39="Ozone", (W126*EXP(0.068*U126)-0.01)/0.47, IF(Segments!$D$39="Chloramines", (W126*EXP(0.071*U126)+410.7)/849.5, 0)))))</f>
        <v>0</v>
      </c>
      <c r="Y126" s="18">
        <f>IF(W126=0, 0,IF(Segments!$D$39="Chlorine", W126/(0.2828*T126^2.69*S126^0.15*0.933^(U126-5)), IF(Segments!$D$39="Chlorine Dioxide", ((W126*U126^0.49)+0.18)/23.85, IF(Segments!$D$39="Ozone", (W126*EXP(0.072*U126)-0.01)/0.98, IF(Segments!$D$39="Chloramines", (W126/(858.5-(24.3*U126))), 0)))))</f>
        <v>0</v>
      </c>
      <c r="Z126" s="25">
        <f t="shared" si="56"/>
        <v>0</v>
      </c>
      <c r="AA126" s="19">
        <f t="shared" si="57"/>
        <v>0</v>
      </c>
    </row>
    <row r="127" spans="1:27" ht="13.5" thickBot="1" x14ac:dyDescent="0.25">
      <c r="A127" s="80"/>
      <c r="B127" s="3" t="str">
        <f>Segments!$C$50</f>
        <v>Clearwell</v>
      </c>
      <c r="C127" s="33"/>
      <c r="D127" s="33"/>
      <c r="E127" s="33"/>
      <c r="F127" s="33"/>
      <c r="G127" s="35"/>
      <c r="H127" s="28">
        <f>IF(Segments!$C$50="Not In Use",0, (IF(Segments!$F$50="Rectangular",Segments!$D$53*D127-Segments!$D$54, IF(Segments!$C$50="Pipe",Segments!$D$53,Segments!$D$53*D127))))</f>
        <v>0</v>
      </c>
      <c r="I127" s="31">
        <f>IF(Segments!$C$4="Not In Use", 0, IF(C127=0,0,H127*E127/C127))</f>
        <v>0</v>
      </c>
      <c r="J127" s="19">
        <f>IF(I127=0, 0,IF(Segments!$D$50="Chlorine", (I127*EXP(0.071*G127)-0.42)/2.94, IF(Segments!$D$50="Chlorine Dioxide", (I127*EXP(0.072*G127)+35.15)/21.25, IF(Segments!$D$50="Ozone", (I127*EXP(0.068*G127)-0.01)/0.47, IF(Segments!$D$50="Chloramines", (I127*EXP(0.071*G127)+410.7)/849.5, 0)))))</f>
        <v>0</v>
      </c>
      <c r="K127" s="18">
        <f>IF(I127=0, 0,IF(Segments!$D$50="Chlorine", I127/(0.2828*F127^2.69*E127^0.15*0.933^(G127-5)), IF(Segments!$D$50="Chlorine Dioxide", ((I127*G127^0.49)+0.18)/23.85, IF(Segments!$D$50="Ozone", (I127*EXP(0.072*G127)-0.01)/0.98, IF(Segments!$D$50="Chloramines", (I127/(858.5-(24.3*G127))), 0)))))</f>
        <v>0</v>
      </c>
      <c r="L127" s="25">
        <f t="shared" si="54"/>
        <v>0</v>
      </c>
      <c r="M127" s="19">
        <f t="shared" si="55"/>
        <v>0</v>
      </c>
      <c r="O127" s="80"/>
      <c r="P127" s="3" t="str">
        <f>Segments!$C$50</f>
        <v>Clearwell</v>
      </c>
      <c r="Q127" s="33"/>
      <c r="R127" s="33"/>
      <c r="S127" s="33"/>
      <c r="T127" s="33"/>
      <c r="U127" s="35"/>
      <c r="V127" s="28">
        <f>IF(Segments!$C$50="Not In Use",0, (IF(Segments!$F$50="Rectangular",Segments!$D$53*R127-Segments!$D$54, IF(Segments!$C$50="Pipe",Segments!$D$53,Segments!$D$53*R127))))</f>
        <v>0</v>
      </c>
      <c r="W127" s="31">
        <f>IF(Segments!$C$4="Not In Use", 0, IF(Q127=0,0,V127*S127/Q127))</f>
        <v>0</v>
      </c>
      <c r="X127" s="19">
        <f>IF(W127=0, 0,IF(Segments!$D$50="Chlorine", (W127*EXP(0.071*U127)-0.42)/2.94, IF(Segments!$D$50="Chlorine Dioxide", (W127*EXP(0.072*U127)+35.15)/21.25, IF(Segments!$D$50="Ozone", (W127*EXP(0.068*U127)-0.01)/0.47, IF(Segments!$D$50="Chloramines", (W127*EXP(0.071*U127)+410.7)/849.5, 0)))))</f>
        <v>0</v>
      </c>
      <c r="Y127" s="18">
        <f>IF(W127=0, 0,IF(Segments!$D$50="Chlorine", W127/(0.2828*T127^2.69*S127^0.15*0.933^(U127-5)), IF(Segments!$D$50="Chlorine Dioxide", ((W127*U127^0.49)+0.18)/23.85, IF(Segments!$D$50="Ozone", (W127*EXP(0.072*U127)-0.01)/0.98, IF(Segments!$D$50="Chloramines", (W127/(858.5-(24.3*U127))), 0)))))</f>
        <v>0</v>
      </c>
      <c r="Z127" s="25">
        <f t="shared" si="56"/>
        <v>0</v>
      </c>
      <c r="AA127" s="19">
        <f t="shared" si="57"/>
        <v>0</v>
      </c>
    </row>
    <row r="128" spans="1:27" ht="13.5" thickBot="1" x14ac:dyDescent="0.25">
      <c r="A128" s="80"/>
      <c r="B128" s="3" t="str">
        <f>Segments!$C$61</f>
        <v>Not In Use</v>
      </c>
      <c r="C128" s="33"/>
      <c r="D128" s="33"/>
      <c r="E128" s="33"/>
      <c r="F128" s="33"/>
      <c r="G128" s="35"/>
      <c r="H128" s="28">
        <f>IF(Segments!$C$61="Not In Use",0, (IF(Segments!$F$61="Rectangular",Segments!$D$64*D128-Segments!$D$65, IF(Segments!$C$61="Pipe",Segments!$D$64,Segments!$D$64*D128))))</f>
        <v>0</v>
      </c>
      <c r="I128" s="31">
        <f>IF(Segments!$C$4="Not In Use", 0, IF(C128=0,0,H128*E128/C128))</f>
        <v>0</v>
      </c>
      <c r="J128" s="19">
        <f>IF(I128=0, 0,IF(Segments!$D$61="Chlorine", (I128*EXP(0.071*G128)-0.42)/2.94, IF(Segments!$D$61="Chlorine Dioxide", (I128*EXP(0.072*G128)+35.15)/21.25, IF(Segments!$D$61="Ozone", (I128*EXP(0.068*G128)-0.01)/0.47, IF(Segments!$D$61="Chloramines", (I128*EXP(0.071*G128)+410.7)/849.5, 0)))))</f>
        <v>0</v>
      </c>
      <c r="K128" s="18">
        <f>IF(I128=0, 0,IF(Segments!$D$61="Chlorine", I128/(0.2828*F128^2.69*E128^0.15*0.933^(G128-5)), IF(Segments!$D$61="Chlorine Dioxide", ((I128*G128^0.49)+0.18)/23.85, IF(Segments!$D$61="Ozone", (I128*EXP(0.072*G128)-0.01)/0.98, IF(Segments!$D$61="Chloramines", (I128/(858.5-(24.3*G128))), 0)))))</f>
        <v>0</v>
      </c>
      <c r="L128" s="25">
        <f t="shared" si="54"/>
        <v>0</v>
      </c>
      <c r="M128" s="19">
        <f t="shared" si="55"/>
        <v>0</v>
      </c>
      <c r="O128" s="80"/>
      <c r="P128" s="3" t="str">
        <f>Segments!$C$61</f>
        <v>Not In Use</v>
      </c>
      <c r="Q128" s="33"/>
      <c r="R128" s="33"/>
      <c r="S128" s="33"/>
      <c r="T128" s="33"/>
      <c r="U128" s="35"/>
      <c r="V128" s="28">
        <f>IF(Segments!$C$61="Not In Use",0, (IF(Segments!$F$61="Rectangular",Segments!$D$64*R128-Segments!$D$65, IF(Segments!$C$61="Pipe",Segments!$D$64,Segments!$D$64*R128))))</f>
        <v>0</v>
      </c>
      <c r="W128" s="31">
        <f>IF(Segments!$C$4="Not In Use", 0, IF(Q128=0,0,V128*S128/Q128))</f>
        <v>0</v>
      </c>
      <c r="X128" s="19">
        <f>IF(W128=0, 0,IF(Segments!$D$61="Chlorine", (W128*EXP(0.071*U128)-0.42)/2.94, IF(Segments!$D$61="Chlorine Dioxide", (W128*EXP(0.072*U128)+35.15)/21.25, IF(Segments!$D$61="Ozone", (W128*EXP(0.068*U128)-0.01)/0.47, IF(Segments!$D$61="Chloramines", (W128*EXP(0.071*U128)+410.7)/849.5, 0)))))</f>
        <v>0</v>
      </c>
      <c r="Y128" s="18">
        <f>IF(W128=0, 0,IF(Segments!$D$61="Chlorine", W128/(0.2828*T128^2.69*S128^0.15*0.933^(U128-5)), IF(Segments!$D$61="Chlorine Dioxide", ((W128*U128^0.49)+0.18)/23.85, IF(Segments!$D$61="Ozone", (W128*EXP(0.072*U128)-0.01)/0.98, IF(Segments!$D$61="Chloramines", (W128/(858.5-(24.3*U128))), 0)))))</f>
        <v>0</v>
      </c>
      <c r="Z128" s="25">
        <f t="shared" si="56"/>
        <v>0</v>
      </c>
      <c r="AA128" s="19">
        <f t="shared" si="57"/>
        <v>0</v>
      </c>
    </row>
    <row r="129" spans="1:27" ht="13.5" thickBot="1" x14ac:dyDescent="0.25">
      <c r="A129" s="80"/>
      <c r="B129" s="3" t="str">
        <f>Segments!$C$74</f>
        <v>Not In Use</v>
      </c>
      <c r="C129" s="33"/>
      <c r="D129" s="33"/>
      <c r="E129" s="33"/>
      <c r="F129" s="33"/>
      <c r="G129" s="35"/>
      <c r="H129" s="28">
        <f>IF(Segments!$C$74="Not In Use",0, (IF(Segments!$F$74="Rectangular",Segments!$D$77*D129-Segments!$D$78, IF(Segments!$C$74="Pipe",Segments!$D$77,Segments!$D$77*D129))))</f>
        <v>0</v>
      </c>
      <c r="I129" s="31">
        <f>IF(Segments!$C$4="Not In Use", 0, IF(C129=0,0,H129*E129/C129))</f>
        <v>0</v>
      </c>
      <c r="J129" s="19">
        <f>IF(I129=0, 0,IF(Segments!$D$74="Chlorine", (I129*EXP(0.071*G129)-0.42)/2.94, IF(Segments!$D$74="Chlorine Dioxide", (I129*EXP(0.072*G129)+35.15)/21.25, IF(Segments!$D$74="Ozone", (I129*EXP(0.068*G129)-0.01)/0.47, IF(Segments!$D$74="Chloramines", (I129*EXP(0.071*G129)+410.7)/849.5, 0)))))</f>
        <v>0</v>
      </c>
      <c r="K129" s="18">
        <f>IF(I129=0, 0,IF(Segments!$D$74="Chlorine", I129/(0.2828*F129^2.69*E129^0.15*0.933^(G129-5)), IF(Segments!$D$74="Chlorine Dioxide", ((I129*G129^0.49)+0.18)/23.85, IF(Segments!$D$74="Ozone", (I129*EXP(0.072*G129)-0.01)/0.98, IF(Segments!$D$74="Chloramines", (I129/(858.5-(24.3*G129))), 0)))))</f>
        <v>0</v>
      </c>
      <c r="L129" s="25">
        <f t="shared" si="54"/>
        <v>0</v>
      </c>
      <c r="M129" s="19">
        <f t="shared" si="55"/>
        <v>0</v>
      </c>
      <c r="O129" s="80"/>
      <c r="P129" s="3" t="str">
        <f>Segments!$C$74</f>
        <v>Not In Use</v>
      </c>
      <c r="Q129" s="33"/>
      <c r="R129" s="33"/>
      <c r="S129" s="33"/>
      <c r="T129" s="33"/>
      <c r="U129" s="35"/>
      <c r="V129" s="28">
        <f>IF(Segments!$C$74="Not In Use",0, (IF(Segments!$F$74="Rectangular",Segments!$D$77*R129-Segments!$D$78, IF(Segments!$C$74="Pipe",Segments!$D$77,Segments!$D$77*R129))))</f>
        <v>0</v>
      </c>
      <c r="W129" s="31">
        <f>IF(Segments!$C$4="Not In Use", 0, IF(Q129=0,0,V129*S129/Q129))</f>
        <v>0</v>
      </c>
      <c r="X129" s="19">
        <f>IF(W129=0, 0,IF(Segments!$D$74="Chlorine", (W129*EXP(0.071*U129)-0.42)/2.94, IF(Segments!$D$74="Chlorine Dioxide", (W129*EXP(0.072*U129)+35.15)/21.25, IF(Segments!$D$74="Ozone", (W129*EXP(0.068*U129)-0.01)/0.47, IF(Segments!$D$74="Chloramines", (W129*EXP(0.071*U129)+410.7)/849.5, 0)))))</f>
        <v>0</v>
      </c>
      <c r="Y129" s="18">
        <f>IF(W129=0, 0,IF(Segments!$D$74="Chlorine", W129/(0.2828*T129^2.69*S129^0.15*0.933^(U129-5)), IF(Segments!$D$74="Chlorine Dioxide", ((W129*U129^0.49)+0.18)/23.85, IF(Segments!$D$74="Ozone", (W129*EXP(0.072*U129)-0.01)/0.98, IF(Segments!$D$74="Chloramines", (W129/(858.5-(24.3*U129))), 0)))))</f>
        <v>0</v>
      </c>
      <c r="Z129" s="25">
        <f t="shared" si="56"/>
        <v>0</v>
      </c>
      <c r="AA129" s="19">
        <f t="shared" si="57"/>
        <v>0</v>
      </c>
    </row>
    <row r="130" spans="1:27" ht="13.5" thickBot="1" x14ac:dyDescent="0.25">
      <c r="A130" s="80"/>
      <c r="B130" s="3" t="str">
        <f>Segments!$C$85</f>
        <v>Not In Use</v>
      </c>
      <c r="C130" s="33"/>
      <c r="D130" s="33"/>
      <c r="E130" s="33"/>
      <c r="F130" s="33"/>
      <c r="G130" s="35"/>
      <c r="H130" s="28">
        <f>IF(Segments!$C$85="Not In Use",0, (IF(Segments!$F$85="Rectangular",Segments!$D$88*D130-Segments!$D$89, IF(Segments!$C$85="Pipe",Segments!$D$88,Segments!$D$88*D130))))</f>
        <v>0</v>
      </c>
      <c r="I130" s="31">
        <f>IF(Segments!$C$4="Not In Use", 0, IF(C130=0,0,H130*E130/C130))</f>
        <v>0</v>
      </c>
      <c r="J130" s="19">
        <f>IF(I130=0, 0,IF(Segments!$D$85="Chlorine", (I130*EXP(0.071*G130)-0.42)/2.94, IF(Segments!$D$85="Chlorine Dioxide", (I130*EXP(0.072*G130)+35.15)/21.25, IF(Segments!$D$85="Ozone", (I130*EXP(0.068*G130)-0.01)/0.47, IF(Segments!$D$85="Chloramines", (I130*EXP(0.071*G130)+410.7)/849.5, 0)))))</f>
        <v>0</v>
      </c>
      <c r="K130" s="18">
        <f>IF(I130=0, 0,IF(Segments!$D$85="Chlorine", I130/(0.2828*F130^2.69*E130^0.15*0.933^(G130-5)), IF(Segments!$D$85="Chlorine Dioxide", ((I130*G130^0.49)+0.18)/23.85, IF(Segments!$D$85="Ozone", (I130*EXP(0.072*G130)-0.01)/0.98, IF(Segments!$D$85="Chloramines", (I130/(858.5-(24.3*G130))), 0)))))</f>
        <v>0</v>
      </c>
      <c r="L130" s="25">
        <f t="shared" si="54"/>
        <v>0</v>
      </c>
      <c r="M130" s="19">
        <f t="shared" si="55"/>
        <v>0</v>
      </c>
      <c r="O130" s="80"/>
      <c r="P130" s="3" t="str">
        <f>Segments!$C$85</f>
        <v>Not In Use</v>
      </c>
      <c r="Q130" s="33"/>
      <c r="R130" s="33"/>
      <c r="S130" s="33"/>
      <c r="T130" s="33"/>
      <c r="U130" s="35"/>
      <c r="V130" s="28">
        <f>IF(Segments!$C$85="Not In Use",0, (IF(Segments!$F$85="Rectangular",Segments!$D$88*R130-Segments!$D$89, IF(Segments!$C$85="Pipe",Segments!$D$88,Segments!$D$88*R130))))</f>
        <v>0</v>
      </c>
      <c r="W130" s="31">
        <f>IF(Segments!$C$4="Not In Use", 0, IF(Q130=0,0,V130*S130/Q130))</f>
        <v>0</v>
      </c>
      <c r="X130" s="19">
        <f>IF(W130=0, 0,IF(Segments!$D$85="Chlorine", (W130*EXP(0.071*U130)-0.42)/2.94, IF(Segments!$D$85="Chlorine Dioxide", (W130*EXP(0.072*U130)+35.15)/21.25, IF(Segments!$D$85="Ozone", (W130*EXP(0.068*U130)-0.01)/0.47, IF(Segments!$D$85="Chloramines", (W130*EXP(0.071*U130)+410.7)/849.5, 0)))))</f>
        <v>0</v>
      </c>
      <c r="Y130" s="18">
        <f>IF(W130=0, 0,IF(Segments!$D$85="Chlorine", W130/(0.2828*T130^2.69*S130^0.15*0.933^(U130-5)), IF(Segments!$D$85="Chlorine Dioxide", ((W130*U130^0.49)+0.18)/23.85, IF(Segments!$D$85="Ozone", (W130*EXP(0.072*U130)-0.01)/0.98, IF(Segments!$D$85="Chloramines", (W130/(858.5-(24.3*U130))), 0)))))</f>
        <v>0</v>
      </c>
      <c r="Z130" s="25">
        <f t="shared" si="56"/>
        <v>0</v>
      </c>
      <c r="AA130" s="19">
        <f t="shared" si="57"/>
        <v>0</v>
      </c>
    </row>
    <row r="131" spans="1:27" ht="13.5" thickBot="1" x14ac:dyDescent="0.25">
      <c r="A131" s="80"/>
      <c r="B131" s="3" t="str">
        <f>Segments!$C$96</f>
        <v>Not In Use</v>
      </c>
      <c r="C131" s="36"/>
      <c r="D131" s="36"/>
      <c r="E131" s="36"/>
      <c r="F131" s="36"/>
      <c r="G131" s="34"/>
      <c r="H131" s="29">
        <f>IF(Segments!$C$96="Not In Use",0, (IF(Segments!$F$96="Rectangular",Segments!$D$99*D131-Segments!$D$100, IF(Segments!$C$96="Pipe",Segments!$D$99,Segments!$D$99*D131))))</f>
        <v>0</v>
      </c>
      <c r="I131" s="32">
        <f>IF(Segments!$C$4="Not In Use", 0, IF(C131=0,0,H131*E131/C131))</f>
        <v>0</v>
      </c>
      <c r="J131" s="19">
        <f>IF(I131=0, 0,IF(Segments!$D$96="Chlorine", (I131*EXP(0.071*G131)-0.42)/2.94, IF(Segments!$D$96="Chlorine Dioxide", (I131*EXP(0.072*G131)+35.15)/21.25, IF(Segments!$D$96="Ozone", (I131*EXP(0.068*G131)-0.01)/0.47, IF(Segments!$D$96="Chloramines", (I131*EXP(0.071*G131)+410.7)/849.5, 0)))))</f>
        <v>0</v>
      </c>
      <c r="K131" s="18">
        <f>IF(I131=0, 0,IF(Segments!$D$96="Chlorine", I131/(0.2828*F131^2.69*E131^0.15*0.933^(G131-5)), IF(Segments!$D$96="Chlorine Dioxide", ((I131*G131^0.49)+0.18)/23.85, IF(Segments!$D$96="Ozone", (I131*EXP(0.072*G131)-0.01)/0.98, IF(Segments!$D$96="Chloramines", (I131/(858.5-(24.3*G131))), 0)))))</f>
        <v>0</v>
      </c>
      <c r="L131" s="25">
        <f t="shared" si="54"/>
        <v>0</v>
      </c>
      <c r="M131" s="19">
        <f t="shared" si="55"/>
        <v>0</v>
      </c>
      <c r="O131" s="80"/>
      <c r="P131" s="3" t="str">
        <f>Segments!$C$96</f>
        <v>Not In Use</v>
      </c>
      <c r="Q131" s="36"/>
      <c r="R131" s="36"/>
      <c r="S131" s="36"/>
      <c r="T131" s="36"/>
      <c r="U131" s="34"/>
      <c r="V131" s="29">
        <f>IF(Segments!$C$96="Not In Use",0, (IF(Segments!$F$96="Rectangular",Segments!$D$99*R131-Segments!$D$100, IF(Segments!$C$96="Pipe",Segments!$D$99,Segments!$D$99*R131))))</f>
        <v>0</v>
      </c>
      <c r="W131" s="32">
        <f>IF(Segments!$C$4="Not In Use", 0, IF(Q131=0,0,V131*S131/Q131))</f>
        <v>0</v>
      </c>
      <c r="X131" s="19">
        <f>IF(W131=0, 0,IF(Segments!$D$96="Chlorine", (W131*EXP(0.071*U131)-0.42)/2.94, IF(Segments!$D$96="Chlorine Dioxide", (W131*EXP(0.072*U131)+35.15)/21.25, IF(Segments!$D$96="Ozone", (W131*EXP(0.068*U131)-0.01)/0.47, IF(Segments!$D$96="Chloramines", (W131*EXP(0.071*U131)+410.7)/849.5, 0)))))</f>
        <v>0</v>
      </c>
      <c r="Y131" s="18">
        <f>IF(W131=0, 0,IF(Segments!$D$96="Chlorine", W131/(0.2828*T131^2.69*S131^0.15*0.933^(U131-5)), IF(Segments!$D$96="Chlorine Dioxide", ((W131*U131^0.49)+0.18)/23.85, IF(Segments!$D$96="Ozone", (W131*EXP(0.072*U131)-0.01)/0.98, IF(Segments!$D$96="Chloramines", (W131/(858.5-(24.3*U131))), 0)))))</f>
        <v>0</v>
      </c>
      <c r="Z131" s="25">
        <f t="shared" si="56"/>
        <v>0</v>
      </c>
      <c r="AA131" s="19">
        <f t="shared" si="57"/>
        <v>0</v>
      </c>
    </row>
    <row r="132" spans="1:27" ht="13.5" thickBot="1" x14ac:dyDescent="0.25">
      <c r="A132" s="81"/>
      <c r="B132" s="22" t="s">
        <v>42</v>
      </c>
      <c r="C132" s="23"/>
      <c r="D132" s="23"/>
      <c r="E132" s="23"/>
      <c r="F132" s="23"/>
      <c r="G132" s="23"/>
      <c r="H132" s="26"/>
      <c r="I132" s="50">
        <f>SUM(I123:I131)</f>
        <v>4.026577500000001</v>
      </c>
      <c r="J132" s="50">
        <f>SUM(J123:J131)</f>
        <v>4.1224200794634838</v>
      </c>
      <c r="K132" s="50">
        <f>SUM(K123:K131)</f>
        <v>0.12595800696326448</v>
      </c>
      <c r="L132" s="50">
        <f>SUM(L123:L131)</f>
        <v>1.0306050198658709</v>
      </c>
      <c r="M132" s="50">
        <f>SUM(M123:M131)</f>
        <v>4.1986002321088157E-2</v>
      </c>
      <c r="O132" s="81"/>
      <c r="P132" s="22" t="s">
        <v>42</v>
      </c>
      <c r="Q132" s="23"/>
      <c r="R132" s="23"/>
      <c r="S132" s="23"/>
      <c r="T132" s="23"/>
      <c r="U132" s="23"/>
      <c r="V132" s="26"/>
      <c r="W132" s="50">
        <f>SUM(W123:W131)</f>
        <v>2.7453937500000003</v>
      </c>
      <c r="X132" s="50">
        <f>SUM(X123:X131)</f>
        <v>2.5659677607461462</v>
      </c>
      <c r="Y132" s="50">
        <f>SUM(Y123:Y131)</f>
        <v>9.0296453622831271E-2</v>
      </c>
      <c r="Z132" s="50">
        <f>SUM(Z123:Z131)</f>
        <v>0.64149194018653655</v>
      </c>
      <c r="AA132" s="50">
        <f>SUM(AA123:AA131)</f>
        <v>3.0098817874277092E-2</v>
      </c>
    </row>
    <row r="133" spans="1:27" ht="6" customHeight="1" thickBot="1" x14ac:dyDescent="0.25">
      <c r="A133" s="15"/>
      <c r="B133" s="15"/>
      <c r="C133" s="15"/>
      <c r="D133" s="15"/>
      <c r="E133" s="15"/>
      <c r="F133" s="15"/>
      <c r="G133" s="15"/>
      <c r="H133" s="15"/>
      <c r="I133" s="15"/>
      <c r="J133" s="15"/>
      <c r="K133" s="15"/>
      <c r="L133" s="15"/>
      <c r="M133" s="15"/>
      <c r="O133" s="15"/>
      <c r="P133" s="15"/>
      <c r="Q133" s="15"/>
      <c r="R133" s="15"/>
      <c r="S133" s="15"/>
      <c r="T133" s="15"/>
      <c r="U133" s="15"/>
      <c r="V133" s="15"/>
      <c r="W133" s="15"/>
      <c r="X133" s="15"/>
      <c r="Y133" s="15"/>
      <c r="Z133" s="15"/>
      <c r="AA133" s="15"/>
    </row>
    <row r="134" spans="1:27" ht="51.75" thickBot="1" x14ac:dyDescent="0.25">
      <c r="A134" s="79" t="s">
        <v>60</v>
      </c>
      <c r="B134" s="6" t="s">
        <v>23</v>
      </c>
      <c r="C134" s="16" t="s">
        <v>83</v>
      </c>
      <c r="D134" s="6" t="s">
        <v>38</v>
      </c>
      <c r="E134" s="16" t="s">
        <v>45</v>
      </c>
      <c r="F134" s="16" t="s">
        <v>6</v>
      </c>
      <c r="G134" s="16" t="s">
        <v>37</v>
      </c>
      <c r="H134" s="16" t="s">
        <v>35</v>
      </c>
      <c r="I134" s="16" t="s">
        <v>46</v>
      </c>
      <c r="J134" s="16" t="s">
        <v>39</v>
      </c>
      <c r="K134" s="16" t="s">
        <v>40</v>
      </c>
      <c r="L134" s="16" t="s">
        <v>41</v>
      </c>
      <c r="M134" s="17" t="s">
        <v>36</v>
      </c>
      <c r="O134" s="79" t="s">
        <v>67</v>
      </c>
      <c r="P134" s="6" t="s">
        <v>23</v>
      </c>
      <c r="Q134" s="16" t="s">
        <v>83</v>
      </c>
      <c r="R134" s="6" t="s">
        <v>38</v>
      </c>
      <c r="S134" s="16" t="s">
        <v>45</v>
      </c>
      <c r="T134" s="16" t="s">
        <v>6</v>
      </c>
      <c r="U134" s="16" t="s">
        <v>37</v>
      </c>
      <c r="V134" s="16" t="s">
        <v>35</v>
      </c>
      <c r="W134" s="16" t="s">
        <v>46</v>
      </c>
      <c r="X134" s="16" t="s">
        <v>39</v>
      </c>
      <c r="Y134" s="16" t="s">
        <v>40</v>
      </c>
      <c r="Z134" s="16" t="s">
        <v>41</v>
      </c>
      <c r="AA134" s="17" t="s">
        <v>36</v>
      </c>
    </row>
    <row r="135" spans="1:27" ht="13.5" thickBot="1" x14ac:dyDescent="0.25">
      <c r="A135" s="80"/>
      <c r="B135" s="3" t="str">
        <f>Segments!$C$4</f>
        <v>Rapid Mix</v>
      </c>
      <c r="C135" s="34">
        <v>1200</v>
      </c>
      <c r="D135" s="33">
        <v>12</v>
      </c>
      <c r="E135" s="33">
        <v>1.3</v>
      </c>
      <c r="F135" s="33">
        <v>7</v>
      </c>
      <c r="G135" s="35">
        <v>14</v>
      </c>
      <c r="H135" s="27">
        <f>IF(Segments!$C$4="Not In Use",0, (IF(Segments!$F$4="Rectangular",Segments!$D$7*D135-Segments!$D$8, IF(Segments!$C$4="Pipe",Segments!$D$7,Segments!$D$7*D135))))</f>
        <v>4392.63</v>
      </c>
      <c r="I135" s="30">
        <f>IF(Segments!$C$4="Not In Use", 0, IF(C135=0,0,H135*E135/C135))</f>
        <v>4.7586825000000008</v>
      </c>
      <c r="J135" s="21">
        <f>IF(I135=0, 0,IF(Segments!$D$4="Chlorine", (I135*EXP(0.071*G135)-0.42)/2.94, IF(Segments!$D$4="Chlorine Dioxide", (I135*EXP(0.072*G135)+35.15)/21.25, IF(Segments!$D$4="Ozone", (I135*EXP(0.068*G135)-0.01)/0.47, IF(Segments!$D$4="Chloramines", (I135*EXP(0.071*G135)+410.7)/849.5, 0)))))</f>
        <v>4.2306326187408043</v>
      </c>
      <c r="K135" s="20">
        <f>IF(I135=0, 0,IF(Segments!$D$4="Chlorine", I135/(0.2828*F135^2.69*E135^0.15*0.933^(G135-5)), IF(Segments!$D$4="Chlorine Dioxide", ((I135*G135^0.49)+0.18)/23.85, IF(Segments!$D$4="Ozone", (I135*EXP(0.072*G135)-0.01)/0.98, IF(Segments!$D$4="Chloramines", (I135/(858.5-(24.3*G135))), 0)))))</f>
        <v>0.16094122411830269</v>
      </c>
      <c r="L135" s="24">
        <f>J135/4</f>
        <v>1.0576581546852011</v>
      </c>
      <c r="M135" s="21">
        <f>K135/3</f>
        <v>5.3647074706100896E-2</v>
      </c>
      <c r="O135" s="80"/>
      <c r="P135" s="3" t="str">
        <f>Segments!$C$4</f>
        <v>Rapid Mix</v>
      </c>
      <c r="Q135" s="34">
        <v>1400</v>
      </c>
      <c r="R135" s="33">
        <v>10</v>
      </c>
      <c r="S135" s="33">
        <v>1.5</v>
      </c>
      <c r="T135" s="33">
        <v>7.3</v>
      </c>
      <c r="U135" s="35">
        <v>15</v>
      </c>
      <c r="V135" s="27">
        <f>IF(Segments!$C$4="Not In Use",0, (IF(Segments!$F$4="Rectangular",Segments!$D$7*R135-Segments!$D$8, IF(Segments!$C$4="Pipe",Segments!$D$7,Segments!$D$7*R135))))</f>
        <v>3660.5250000000001</v>
      </c>
      <c r="W135" s="30">
        <f>IF(Segments!$C$4="Not In Use", 0, IF(Q135=0,0,V135*S135/Q135))</f>
        <v>3.9219910714285717</v>
      </c>
      <c r="X135" s="21">
        <f>IF(W135=0, 0,IF(Segments!$D$4="Chlorine", (W135*EXP(0.071*U135)-0.42)/2.94, IF(Segments!$D$4="Chlorine Dioxide", (W135*EXP(0.072*U135)+35.15)/21.25, IF(Segments!$D$4="Ozone", (W135*EXP(0.068*U135)-0.01)/0.47, IF(Segments!$D$4="Chloramines", (W135*EXP(0.071*U135)+410.7)/849.5, 0)))))</f>
        <v>3.7268927194332697</v>
      </c>
      <c r="Y135" s="20">
        <f>IF(W135=0, 0,IF(Segments!$D$4="Chlorine", W135/(0.2828*T135^2.69*S135^0.15*0.933^(U135-5)), IF(Segments!$D$4="Chlorine Dioxide", ((W135*U135^0.49)+0.18)/23.85, IF(Segments!$D$4="Ozone", (W135*EXP(0.072*U135)-0.01)/0.98, IF(Segments!$D$4="Chloramines", (W135/(858.5-(24.3*U135))), 0)))))</f>
        <v>0.12429640719249138</v>
      </c>
      <c r="Z135" s="24">
        <f>X135/4</f>
        <v>0.93172317985831743</v>
      </c>
      <c r="AA135" s="21">
        <f>Y135/3</f>
        <v>4.1432135730830461E-2</v>
      </c>
    </row>
    <row r="136" spans="1:27" ht="13.5" thickBot="1" x14ac:dyDescent="0.25">
      <c r="A136" s="80"/>
      <c r="B136" s="3" t="str">
        <f>Segments!$C$15</f>
        <v>Flocculation</v>
      </c>
      <c r="C136" s="33">
        <v>1200</v>
      </c>
      <c r="D136" s="33"/>
      <c r="E136" s="33">
        <v>1.2</v>
      </c>
      <c r="F136" s="33">
        <v>7</v>
      </c>
      <c r="G136" s="35">
        <v>14</v>
      </c>
      <c r="H136" s="28">
        <f>IF(Segments!$C$15="Not In Use",0, (IF(Segments!$F$15="Rectangular",Segments!$D$18*D136-Segments!$D$19, IF(Segments!$C$15="Pipe",Segments!$D$18,Segments!$D$18*D136))))</f>
        <v>0</v>
      </c>
      <c r="I136" s="31">
        <f>IF(Segments!$C$4="Not In Use", 0, IF(C136=0,0,H136*E136/C136))</f>
        <v>0</v>
      </c>
      <c r="J136" s="19">
        <f>IF(I136=0, 0,IF(Segments!$D$15="Chlorine", (I136*EXP(0.071*G136)-0.42)/2.94, IF(Segments!$D$15="Chlorine Dioxide", (I136*EXP(0.072*G136)+35.15)/21.25, IF(Segments!$D$15="Ozone", (I136*EXP(0.068*G136)-0.01)/0.47, IF(Segments!$D$15="Chloramines", (I136*EXP(0.071*G136)+410.7)/849.5, 0)))))</f>
        <v>0</v>
      </c>
      <c r="K136" s="18">
        <f>IF(I136=0, 0,IF(Segments!$D$15="Chlorine", I136/(0.2828*F136^2.69*E136^0.15*0.933^(G136-5)), IF(Segments!$D$15="Chlorine Dioxide", ((I136*G136^0.49)+0.18)/23.85, IF(Segments!$D$15="Ozone", (I136*exp^(0.072*G136)-0.01)/0.98, IF(Segments!$D$15="Chloramines", (I136/(858.5-(24.3*G136))), 0)))))</f>
        <v>0</v>
      </c>
      <c r="L136" s="25">
        <f t="shared" ref="L136:L143" si="58">J136/4</f>
        <v>0</v>
      </c>
      <c r="M136" s="19">
        <f t="shared" ref="M136:M143" si="59">K136/3</f>
        <v>0</v>
      </c>
      <c r="O136" s="80"/>
      <c r="P136" s="3" t="str">
        <f>Segments!$C$15</f>
        <v>Flocculation</v>
      </c>
      <c r="Q136" s="33">
        <v>1400</v>
      </c>
      <c r="R136" s="33"/>
      <c r="S136" s="33">
        <v>1.4</v>
      </c>
      <c r="T136" s="33">
        <v>7.3</v>
      </c>
      <c r="U136" s="35">
        <v>15</v>
      </c>
      <c r="V136" s="28">
        <f>IF(Segments!$C$15="Not In Use",0, (IF(Segments!$F$15="Rectangular",Segments!$D$18*R136-Segments!$D$19, IF(Segments!$C$15="Pipe",Segments!$D$18,Segments!$D$18*R136))))</f>
        <v>0</v>
      </c>
      <c r="W136" s="31">
        <f>IF(Segments!$C$4="Not In Use", 0, IF(Q136=0,0,V136*S136/Q136))</f>
        <v>0</v>
      </c>
      <c r="X136" s="19">
        <f>IF(W136=0, 0,IF(Segments!$D$15="Chlorine", (W136*EXP(0.071*U136)-0.42)/2.94, IF(Segments!$D$15="Chlorine Dioxide", (W136*EXP(0.072*U136)+35.15)/21.25, IF(Segments!$D$15="Ozone", (W136*EXP(0.068*U136)-0.01)/0.47, IF(Segments!$D$15="Chloramines", (W136*EXP(0.071*U136)+410.7)/849.5, 0)))))</f>
        <v>0</v>
      </c>
      <c r="Y136" s="18">
        <f>IF(W136=0, 0,IF(Segments!$D$15="Chlorine", W136/(0.2828*T136^2.69*S136^0.15*0.933^(U136-5)), IF(Segments!$D$15="Chlorine Dioxide", ((W136*U136^0.49)+0.18)/23.85, IF(Segments!$D$15="Ozone", (W136*exp^(0.072*U136)-0.01)/0.98, IF(Segments!$D$15="Chloramines", (W136/(858.5-(24.3*U136))), 0)))))</f>
        <v>0</v>
      </c>
      <c r="Z136" s="25">
        <f t="shared" ref="Z136:Z143" si="60">X136/4</f>
        <v>0</v>
      </c>
      <c r="AA136" s="19">
        <f t="shared" ref="AA136:AA143" si="61">Y136/3</f>
        <v>0</v>
      </c>
    </row>
    <row r="137" spans="1:27" ht="13.5" thickBot="1" x14ac:dyDescent="0.25">
      <c r="A137" s="80"/>
      <c r="B137" s="3" t="str">
        <f>Segments!$C$26</f>
        <v>Sedimentation</v>
      </c>
      <c r="C137" s="33"/>
      <c r="D137" s="33"/>
      <c r="E137" s="33"/>
      <c r="F137" s="33"/>
      <c r="G137" s="35"/>
      <c r="H137" s="28">
        <f>IF(Segments!$C$26="Not In Use",0, (IF(Segments!$F$26="Rectangular",Segments!$D$29*D137-Segments!$D$30, IF(Segments!$C$26="Pipe",Segments!$D$29,Segments!$D$29*D137))))</f>
        <v>0</v>
      </c>
      <c r="I137" s="31">
        <f>IF(Segments!$C$4="Not In Use", 0, IF(C137=0,0,H137*E137/C137))</f>
        <v>0</v>
      </c>
      <c r="J137" s="19">
        <f>IF(I137=0, 0,IF(Segments!$D$26="Chlorine", (I137*EXP(0.071*G137)-0.42)/2.94, IF(Segments!$D$26="Chlorine Dioxide", (I137*EXP(0.072*G137)+35.15)/21.25, IF(Segments!$D$26="Ozone", (I137*EXP(0.068*G137)-0.01)/0.47, IF(Segments!$D$26="Chloramines", (I137*EXP(0.071*G137)+410.7)/849.5, 0)))))</f>
        <v>0</v>
      </c>
      <c r="K137" s="18">
        <f>IF(I137=0, 0,IF(Segments!$D$26="Chlorine", I137/(0.2828*F137^2.69*E137^0.15*0.933^(G137-5)), IF(Segments!$D$26="Chlorine Dioxide", ((I137*G137^0.49)+0.18)/23.85, IF(Segments!$D$26="Ozone",((I137*EXP(0.072*G137)-0.01)/0.98),IF(Segments!$D$26="Chloramines", (I137/(858.5-(24.3*G137))), 0)))))</f>
        <v>0</v>
      </c>
      <c r="L137" s="25">
        <f t="shared" si="58"/>
        <v>0</v>
      </c>
      <c r="M137" s="19">
        <f t="shared" si="59"/>
        <v>0</v>
      </c>
      <c r="O137" s="80"/>
      <c r="P137" s="3" t="str">
        <f>Segments!$C$26</f>
        <v>Sedimentation</v>
      </c>
      <c r="Q137" s="33"/>
      <c r="R137" s="33"/>
      <c r="S137" s="33"/>
      <c r="T137" s="33"/>
      <c r="U137" s="35"/>
      <c r="V137" s="28">
        <f>IF(Segments!$C$26="Not In Use",0, (IF(Segments!$F$26="Rectangular",Segments!$D$29*R137-Segments!$D$30, IF(Segments!$C$26="Pipe",Segments!$D$29,Segments!$D$29*R137))))</f>
        <v>0</v>
      </c>
      <c r="W137" s="31">
        <f>IF(Segments!$C$4="Not In Use", 0, IF(Q137=0,0,V137*S137/Q137))</f>
        <v>0</v>
      </c>
      <c r="X137" s="19">
        <f>IF(W137=0, 0,IF(Segments!$D$26="Chlorine", (W137*EXP(0.071*U137)-0.42)/2.94, IF(Segments!$D$26="Chlorine Dioxide", (W137*EXP(0.072*U137)+35.15)/21.25, IF(Segments!$D$26="Ozone", (W137*EXP(0.068*U137)-0.01)/0.47, IF(Segments!$D$26="Chloramines", (W137*EXP(0.071*U137)+410.7)/849.5, 0)))))</f>
        <v>0</v>
      </c>
      <c r="Y137" s="18">
        <f>IF(W137=0, 0,IF(Segments!$D$26="Chlorine", W137/(0.2828*T137^2.69*S137^0.15*0.933^(U137-5)), IF(Segments!$D$26="Chlorine Dioxide", ((W137*U137^0.49)+0.18)/23.85, IF(Segments!$D$26="Ozone",((W137*EXP(0.072*U137)-0.01)/0.98),IF(Segments!$D$26="Chloramines", (W137/(858.5-(24.3*U137))), 0)))))</f>
        <v>0</v>
      </c>
      <c r="Z137" s="25">
        <f t="shared" si="60"/>
        <v>0</v>
      </c>
      <c r="AA137" s="19">
        <f t="shared" si="61"/>
        <v>0</v>
      </c>
    </row>
    <row r="138" spans="1:27" ht="13.5" thickBot="1" x14ac:dyDescent="0.25">
      <c r="A138" s="80"/>
      <c r="B138" s="3" t="str">
        <f>Segments!$C$39</f>
        <v>Filtration</v>
      </c>
      <c r="C138" s="33"/>
      <c r="D138" s="33"/>
      <c r="E138" s="33"/>
      <c r="F138" s="33"/>
      <c r="G138" s="35"/>
      <c r="H138" s="28">
        <f>IF(Segments!$C$39="Not In Use",0, (IF(Segments!$F$39="Rectangular",Segments!$D$42*D138-Segments!$D$43, IF(Segments!$C$39="Pipe",Segments!$D$42,Segments!$D$42*D138))))</f>
        <v>0</v>
      </c>
      <c r="I138" s="31">
        <f>IF(Segments!$C$4="Not In Use", 0, IF(C138=0,0,H138*E138/C138))</f>
        <v>0</v>
      </c>
      <c r="J138" s="19">
        <f>IF(I138=0, 0,IF(Segments!$D$39="Chlorine", (I138*EXP(0.071*G138)-0.42)/2.94, IF(Segments!$D$39="Chlorine Dioxide", (I138*EXP(0.072*G138)+35.15)/21.25, IF(Segments!$D$39="Ozone", (I138*EXP(0.068*G138)-0.01)/0.47, IF(Segments!$D$39="Chloramines", (I138*EXP(0.071*G138)+410.7)/849.5, 0)))))</f>
        <v>0</v>
      </c>
      <c r="K138" s="18">
        <f>IF(I138=0, 0,IF(Segments!$D$39="Chlorine", I138/(0.2828*F138^2.69*E138^0.15*0.933^(G138-5)), IF(Segments!$D$39="Chlorine Dioxide", ((I138*G138^0.49)+0.18)/23.85, IF(Segments!$D$39="Ozone", (I138*EXP(0.072*G138)-0.01)/0.98, IF(Segments!$D$39="Chloramines", (I138/(858.5-(24.3*G138))), 0)))))</f>
        <v>0</v>
      </c>
      <c r="L138" s="25">
        <f t="shared" si="58"/>
        <v>0</v>
      </c>
      <c r="M138" s="19">
        <f t="shared" si="59"/>
        <v>0</v>
      </c>
      <c r="O138" s="80"/>
      <c r="P138" s="3" t="str">
        <f>Segments!$C$39</f>
        <v>Filtration</v>
      </c>
      <c r="Q138" s="33"/>
      <c r="R138" s="33"/>
      <c r="S138" s="33"/>
      <c r="T138" s="33"/>
      <c r="U138" s="35"/>
      <c r="V138" s="28">
        <f>IF(Segments!$C$39="Not In Use",0, (IF(Segments!$F$39="Rectangular",Segments!$D$42*R138-Segments!$D$43, IF(Segments!$C$39="Pipe",Segments!$D$42,Segments!$D$42*R138))))</f>
        <v>0</v>
      </c>
      <c r="W138" s="31">
        <f>IF(Segments!$C$4="Not In Use", 0, IF(Q138=0,0,V138*S138/Q138))</f>
        <v>0</v>
      </c>
      <c r="X138" s="19">
        <f>IF(W138=0, 0,IF(Segments!$D$39="Chlorine", (W138*EXP(0.071*U138)-0.42)/2.94, IF(Segments!$D$39="Chlorine Dioxide", (W138*EXP(0.072*U138)+35.15)/21.25, IF(Segments!$D$39="Ozone", (W138*EXP(0.068*U138)-0.01)/0.47, IF(Segments!$D$39="Chloramines", (W138*EXP(0.071*U138)+410.7)/849.5, 0)))))</f>
        <v>0</v>
      </c>
      <c r="Y138" s="18">
        <f>IF(W138=0, 0,IF(Segments!$D$39="Chlorine", W138/(0.2828*T138^2.69*S138^0.15*0.933^(U138-5)), IF(Segments!$D$39="Chlorine Dioxide", ((W138*U138^0.49)+0.18)/23.85, IF(Segments!$D$39="Ozone", (W138*EXP(0.072*U138)-0.01)/0.98, IF(Segments!$D$39="Chloramines", (W138/(858.5-(24.3*U138))), 0)))))</f>
        <v>0</v>
      </c>
      <c r="Z138" s="25">
        <f t="shared" si="60"/>
        <v>0</v>
      </c>
      <c r="AA138" s="19">
        <f t="shared" si="61"/>
        <v>0</v>
      </c>
    </row>
    <row r="139" spans="1:27" ht="13.5" thickBot="1" x14ac:dyDescent="0.25">
      <c r="A139" s="80"/>
      <c r="B139" s="3" t="str">
        <f>Segments!$C$50</f>
        <v>Clearwell</v>
      </c>
      <c r="C139" s="33"/>
      <c r="D139" s="33"/>
      <c r="E139" s="33"/>
      <c r="F139" s="33"/>
      <c r="G139" s="35"/>
      <c r="H139" s="28">
        <f>IF(Segments!$C$50="Not In Use",0, (IF(Segments!$F$50="Rectangular",Segments!$D$53*D139-Segments!$D$54, IF(Segments!$C$50="Pipe",Segments!$D$53,Segments!$D$53*D139))))</f>
        <v>0</v>
      </c>
      <c r="I139" s="31">
        <f>IF(Segments!$C$4="Not In Use", 0, IF(C139=0,0,H139*E139/C139))</f>
        <v>0</v>
      </c>
      <c r="J139" s="19">
        <f>IF(I139=0, 0,IF(Segments!$D$50="Chlorine", (I139*EXP(0.071*G139)-0.42)/2.94, IF(Segments!$D$50="Chlorine Dioxide", (I139*EXP(0.072*G139)+35.15)/21.25, IF(Segments!$D$50="Ozone", (I139*EXP(0.068*G139)-0.01)/0.47, IF(Segments!$D$50="Chloramines", (I139*EXP(0.071*G139)+410.7)/849.5, 0)))))</f>
        <v>0</v>
      </c>
      <c r="K139" s="18">
        <f>IF(I139=0, 0,IF(Segments!$D$50="Chlorine", I139/(0.2828*F139^2.69*E139^0.15*0.933^(G139-5)), IF(Segments!$D$50="Chlorine Dioxide", ((I139*G139^0.49)+0.18)/23.85, IF(Segments!$D$50="Ozone", (I139*EXP(0.072*G139)-0.01)/0.98, IF(Segments!$D$50="Chloramines", (I139/(858.5-(24.3*G139))), 0)))))</f>
        <v>0</v>
      </c>
      <c r="L139" s="25">
        <f t="shared" si="58"/>
        <v>0</v>
      </c>
      <c r="M139" s="19">
        <f t="shared" si="59"/>
        <v>0</v>
      </c>
      <c r="O139" s="80"/>
      <c r="P139" s="3" t="str">
        <f>Segments!$C$50</f>
        <v>Clearwell</v>
      </c>
      <c r="Q139" s="33"/>
      <c r="R139" s="33"/>
      <c r="S139" s="33"/>
      <c r="T139" s="33"/>
      <c r="U139" s="35"/>
      <c r="V139" s="28">
        <f>IF(Segments!$C$50="Not In Use",0, (IF(Segments!$F$50="Rectangular",Segments!$D$53*R139-Segments!$D$54, IF(Segments!$C$50="Pipe",Segments!$D$53,Segments!$D$53*R139))))</f>
        <v>0</v>
      </c>
      <c r="W139" s="31">
        <f>IF(Segments!$C$4="Not In Use", 0, IF(Q139=0,0,V139*S139/Q139))</f>
        <v>0</v>
      </c>
      <c r="X139" s="19">
        <f>IF(W139=0, 0,IF(Segments!$D$50="Chlorine", (W139*EXP(0.071*U139)-0.42)/2.94, IF(Segments!$D$50="Chlorine Dioxide", (W139*EXP(0.072*U139)+35.15)/21.25, IF(Segments!$D$50="Ozone", (W139*EXP(0.068*U139)-0.01)/0.47, IF(Segments!$D$50="Chloramines", (W139*EXP(0.071*U139)+410.7)/849.5, 0)))))</f>
        <v>0</v>
      </c>
      <c r="Y139" s="18">
        <f>IF(W139=0, 0,IF(Segments!$D$50="Chlorine", W139/(0.2828*T139^2.69*S139^0.15*0.933^(U139-5)), IF(Segments!$D$50="Chlorine Dioxide", ((W139*U139^0.49)+0.18)/23.85, IF(Segments!$D$50="Ozone", (W139*EXP(0.072*U139)-0.01)/0.98, IF(Segments!$D$50="Chloramines", (W139/(858.5-(24.3*U139))), 0)))))</f>
        <v>0</v>
      </c>
      <c r="Z139" s="25">
        <f t="shared" si="60"/>
        <v>0</v>
      </c>
      <c r="AA139" s="19">
        <f t="shared" si="61"/>
        <v>0</v>
      </c>
    </row>
    <row r="140" spans="1:27" ht="13.5" thickBot="1" x14ac:dyDescent="0.25">
      <c r="A140" s="80"/>
      <c r="B140" s="3" t="str">
        <f>Segments!$C$61</f>
        <v>Not In Use</v>
      </c>
      <c r="C140" s="33"/>
      <c r="D140" s="33"/>
      <c r="E140" s="33"/>
      <c r="F140" s="33"/>
      <c r="G140" s="35"/>
      <c r="H140" s="28">
        <f>IF(Segments!$C$61="Not In Use",0, (IF(Segments!$F$61="Rectangular",Segments!$D$64*D140-Segments!$D$65, IF(Segments!$C$61="Pipe",Segments!$D$64,Segments!$D$64*D140))))</f>
        <v>0</v>
      </c>
      <c r="I140" s="31">
        <f>IF(Segments!$C$4="Not In Use", 0, IF(C140=0,0,H140*E140/C140))</f>
        <v>0</v>
      </c>
      <c r="J140" s="19">
        <f>IF(I140=0, 0,IF(Segments!$D$61="Chlorine", (I140*EXP(0.071*G140)-0.42)/2.94, IF(Segments!$D$61="Chlorine Dioxide", (I140*EXP(0.072*G140)+35.15)/21.25, IF(Segments!$D$61="Ozone", (I140*EXP(0.068*G140)-0.01)/0.47, IF(Segments!$D$61="Chloramines", (I140*EXP(0.071*G140)+410.7)/849.5, 0)))))</f>
        <v>0</v>
      </c>
      <c r="K140" s="18">
        <f>IF(I140=0, 0,IF(Segments!$D$61="Chlorine", I140/(0.2828*F140^2.69*E140^0.15*0.933^(G140-5)), IF(Segments!$D$61="Chlorine Dioxide", ((I140*G140^0.49)+0.18)/23.85, IF(Segments!$D$61="Ozone", (I140*EXP(0.072*G140)-0.01)/0.98, IF(Segments!$D$61="Chloramines", (I140/(858.5-(24.3*G140))), 0)))))</f>
        <v>0</v>
      </c>
      <c r="L140" s="25">
        <f t="shared" si="58"/>
        <v>0</v>
      </c>
      <c r="M140" s="19">
        <f t="shared" si="59"/>
        <v>0</v>
      </c>
      <c r="O140" s="80"/>
      <c r="P140" s="3" t="str">
        <f>Segments!$C$61</f>
        <v>Not In Use</v>
      </c>
      <c r="Q140" s="33"/>
      <c r="R140" s="33"/>
      <c r="S140" s="33"/>
      <c r="T140" s="33"/>
      <c r="U140" s="35"/>
      <c r="V140" s="28">
        <f>IF(Segments!$C$61="Not In Use",0, (IF(Segments!$F$61="Rectangular",Segments!$D$64*R140-Segments!$D$65, IF(Segments!$C$61="Pipe",Segments!$D$64,Segments!$D$64*R140))))</f>
        <v>0</v>
      </c>
      <c r="W140" s="31">
        <f>IF(Segments!$C$4="Not In Use", 0, IF(Q140=0,0,V140*S140/Q140))</f>
        <v>0</v>
      </c>
      <c r="X140" s="19">
        <f>IF(W140=0, 0,IF(Segments!$D$61="Chlorine", (W140*EXP(0.071*U140)-0.42)/2.94, IF(Segments!$D$61="Chlorine Dioxide", (W140*EXP(0.072*U140)+35.15)/21.25, IF(Segments!$D$61="Ozone", (W140*EXP(0.068*U140)-0.01)/0.47, IF(Segments!$D$61="Chloramines", (W140*EXP(0.071*U140)+410.7)/849.5, 0)))))</f>
        <v>0</v>
      </c>
      <c r="Y140" s="18">
        <f>IF(W140=0, 0,IF(Segments!$D$61="Chlorine", W140/(0.2828*T140^2.69*S140^0.15*0.933^(U140-5)), IF(Segments!$D$61="Chlorine Dioxide", ((W140*U140^0.49)+0.18)/23.85, IF(Segments!$D$61="Ozone", (W140*EXP(0.072*U140)-0.01)/0.98, IF(Segments!$D$61="Chloramines", (W140/(858.5-(24.3*U140))), 0)))))</f>
        <v>0</v>
      </c>
      <c r="Z140" s="25">
        <f t="shared" si="60"/>
        <v>0</v>
      </c>
      <c r="AA140" s="19">
        <f t="shared" si="61"/>
        <v>0</v>
      </c>
    </row>
    <row r="141" spans="1:27" ht="13.5" thickBot="1" x14ac:dyDescent="0.25">
      <c r="A141" s="80"/>
      <c r="B141" s="3" t="str">
        <f>Segments!$C$74</f>
        <v>Not In Use</v>
      </c>
      <c r="C141" s="33"/>
      <c r="D141" s="33"/>
      <c r="E141" s="33"/>
      <c r="F141" s="33"/>
      <c r="G141" s="35"/>
      <c r="H141" s="28">
        <f>IF(Segments!$C$74="Not In Use",0, (IF(Segments!$F$74="Rectangular",Segments!$D$77*D141-Segments!$D$78, IF(Segments!$C$74="Pipe",Segments!$D$77,Segments!$D$77*D141))))</f>
        <v>0</v>
      </c>
      <c r="I141" s="31">
        <f>IF(Segments!$C$4="Not In Use", 0, IF(C141=0,0,H141*E141/C141))</f>
        <v>0</v>
      </c>
      <c r="J141" s="19">
        <f>IF(I141=0, 0,IF(Segments!$D$74="Chlorine", (I141*EXP(0.071*G141)-0.42)/2.94, IF(Segments!$D$74="Chlorine Dioxide", (I141*EXP(0.072*G141)+35.15)/21.25, IF(Segments!$D$74="Ozone", (I141*EXP(0.068*G141)-0.01)/0.47, IF(Segments!$D$74="Chloramines", (I141*EXP(0.071*G141)+410.7)/849.5, 0)))))</f>
        <v>0</v>
      </c>
      <c r="K141" s="18">
        <f>IF(I141=0, 0,IF(Segments!$D$74="Chlorine", I141/(0.2828*F141^2.69*E141^0.15*0.933^(G141-5)), IF(Segments!$D$74="Chlorine Dioxide", ((I141*G141^0.49)+0.18)/23.85, IF(Segments!$D$74="Ozone", (I141*EXP(0.072*G141)-0.01)/0.98, IF(Segments!$D$74="Chloramines", (I141/(858.5-(24.3*G141))), 0)))))</f>
        <v>0</v>
      </c>
      <c r="L141" s="25">
        <f t="shared" si="58"/>
        <v>0</v>
      </c>
      <c r="M141" s="19">
        <f t="shared" si="59"/>
        <v>0</v>
      </c>
      <c r="O141" s="80"/>
      <c r="P141" s="3" t="str">
        <f>Segments!$C$74</f>
        <v>Not In Use</v>
      </c>
      <c r="Q141" s="33"/>
      <c r="R141" s="33"/>
      <c r="S141" s="33"/>
      <c r="T141" s="33"/>
      <c r="U141" s="35"/>
      <c r="V141" s="28">
        <f>IF(Segments!$C$74="Not In Use",0, (IF(Segments!$F$74="Rectangular",Segments!$D$77*R141-Segments!$D$78, IF(Segments!$C$74="Pipe",Segments!$D$77,Segments!$D$77*R141))))</f>
        <v>0</v>
      </c>
      <c r="W141" s="31">
        <f>IF(Segments!$C$4="Not In Use", 0, IF(Q141=0,0,V141*S141/Q141))</f>
        <v>0</v>
      </c>
      <c r="X141" s="19">
        <f>IF(W141=0, 0,IF(Segments!$D$74="Chlorine", (W141*EXP(0.071*U141)-0.42)/2.94, IF(Segments!$D$74="Chlorine Dioxide", (W141*EXP(0.072*U141)+35.15)/21.25, IF(Segments!$D$74="Ozone", (W141*EXP(0.068*U141)-0.01)/0.47, IF(Segments!$D$74="Chloramines", (W141*EXP(0.071*U141)+410.7)/849.5, 0)))))</f>
        <v>0</v>
      </c>
      <c r="Y141" s="18">
        <f>IF(W141=0, 0,IF(Segments!$D$74="Chlorine", W141/(0.2828*T141^2.69*S141^0.15*0.933^(U141-5)), IF(Segments!$D$74="Chlorine Dioxide", ((W141*U141^0.49)+0.18)/23.85, IF(Segments!$D$74="Ozone", (W141*EXP(0.072*U141)-0.01)/0.98, IF(Segments!$D$74="Chloramines", (W141/(858.5-(24.3*U141))), 0)))))</f>
        <v>0</v>
      </c>
      <c r="Z141" s="25">
        <f t="shared" si="60"/>
        <v>0</v>
      </c>
      <c r="AA141" s="19">
        <f t="shared" si="61"/>
        <v>0</v>
      </c>
    </row>
    <row r="142" spans="1:27" ht="13.5" thickBot="1" x14ac:dyDescent="0.25">
      <c r="A142" s="80"/>
      <c r="B142" s="3" t="str">
        <f>Segments!$C$85</f>
        <v>Not In Use</v>
      </c>
      <c r="C142" s="33"/>
      <c r="D142" s="33"/>
      <c r="E142" s="33"/>
      <c r="F142" s="33"/>
      <c r="G142" s="35"/>
      <c r="H142" s="28">
        <f>IF(Segments!$C$85="Not In Use",0, (IF(Segments!$F$85="Rectangular",Segments!$D$88*D142-Segments!$D$89, IF(Segments!$C$85="Pipe",Segments!$D$88,Segments!$D$88*D142))))</f>
        <v>0</v>
      </c>
      <c r="I142" s="31">
        <f>IF(Segments!$C$4="Not In Use", 0, IF(C142=0,0,H142*E142/C142))</f>
        <v>0</v>
      </c>
      <c r="J142" s="19">
        <f>IF(I142=0, 0,IF(Segments!$D$85="Chlorine", (I142*EXP(0.071*G142)-0.42)/2.94, IF(Segments!$D$85="Chlorine Dioxide", (I142*EXP(0.072*G142)+35.15)/21.25, IF(Segments!$D$85="Ozone", (I142*EXP(0.068*G142)-0.01)/0.47, IF(Segments!$D$85="Chloramines", (I142*EXP(0.071*G142)+410.7)/849.5, 0)))))</f>
        <v>0</v>
      </c>
      <c r="K142" s="18">
        <f>IF(I142=0, 0,IF(Segments!$D$85="Chlorine", I142/(0.2828*F142^2.69*E142^0.15*0.933^(G142-5)), IF(Segments!$D$85="Chlorine Dioxide", ((I142*G142^0.49)+0.18)/23.85, IF(Segments!$D$85="Ozone", (I142*EXP(0.072*G142)-0.01)/0.98, IF(Segments!$D$85="Chloramines", (I142/(858.5-(24.3*G142))), 0)))))</f>
        <v>0</v>
      </c>
      <c r="L142" s="25">
        <f t="shared" si="58"/>
        <v>0</v>
      </c>
      <c r="M142" s="19">
        <f t="shared" si="59"/>
        <v>0</v>
      </c>
      <c r="O142" s="80"/>
      <c r="P142" s="3" t="str">
        <f>Segments!$C$85</f>
        <v>Not In Use</v>
      </c>
      <c r="Q142" s="33"/>
      <c r="R142" s="33"/>
      <c r="S142" s="33"/>
      <c r="T142" s="33"/>
      <c r="U142" s="35"/>
      <c r="V142" s="28">
        <f>IF(Segments!$C$85="Not In Use",0, (IF(Segments!$F$85="Rectangular",Segments!$D$88*R142-Segments!$D$89, IF(Segments!$C$85="Pipe",Segments!$D$88,Segments!$D$88*R142))))</f>
        <v>0</v>
      </c>
      <c r="W142" s="31">
        <f>IF(Segments!$C$4="Not In Use", 0, IF(Q142=0,0,V142*S142/Q142))</f>
        <v>0</v>
      </c>
      <c r="X142" s="19">
        <f>IF(W142=0, 0,IF(Segments!$D$85="Chlorine", (W142*EXP(0.071*U142)-0.42)/2.94, IF(Segments!$D$85="Chlorine Dioxide", (W142*EXP(0.072*U142)+35.15)/21.25, IF(Segments!$D$85="Ozone", (W142*EXP(0.068*U142)-0.01)/0.47, IF(Segments!$D$85="Chloramines", (W142*EXP(0.071*U142)+410.7)/849.5, 0)))))</f>
        <v>0</v>
      </c>
      <c r="Y142" s="18">
        <f>IF(W142=0, 0,IF(Segments!$D$85="Chlorine", W142/(0.2828*T142^2.69*S142^0.15*0.933^(U142-5)), IF(Segments!$D$85="Chlorine Dioxide", ((W142*U142^0.49)+0.18)/23.85, IF(Segments!$D$85="Ozone", (W142*EXP(0.072*U142)-0.01)/0.98, IF(Segments!$D$85="Chloramines", (W142/(858.5-(24.3*U142))), 0)))))</f>
        <v>0</v>
      </c>
      <c r="Z142" s="25">
        <f t="shared" si="60"/>
        <v>0</v>
      </c>
      <c r="AA142" s="19">
        <f t="shared" si="61"/>
        <v>0</v>
      </c>
    </row>
    <row r="143" spans="1:27" ht="13.5" thickBot="1" x14ac:dyDescent="0.25">
      <c r="A143" s="80"/>
      <c r="B143" s="3" t="str">
        <f>Segments!$C$96</f>
        <v>Not In Use</v>
      </c>
      <c r="C143" s="36"/>
      <c r="D143" s="36"/>
      <c r="E143" s="36"/>
      <c r="F143" s="36"/>
      <c r="G143" s="34"/>
      <c r="H143" s="29">
        <f>IF(Segments!$C$96="Not In Use",0, (IF(Segments!$F$96="Rectangular",Segments!$D$99*D143-Segments!$D$100, IF(Segments!$C$96="Pipe",Segments!$D$99,Segments!$D$99*D143))))</f>
        <v>0</v>
      </c>
      <c r="I143" s="32">
        <f>IF(Segments!$C$4="Not In Use", 0, IF(C143=0,0,H143*E143/C143))</f>
        <v>0</v>
      </c>
      <c r="J143" s="19">
        <f>IF(I143=0, 0,IF(Segments!$D$96="Chlorine", (I143*EXP(0.071*G143)-0.42)/2.94, IF(Segments!$D$96="Chlorine Dioxide", (I143*EXP(0.072*G143)+35.15)/21.25, IF(Segments!$D$96="Ozone", (I143*EXP(0.068*G143)-0.01)/0.47, IF(Segments!$D$96="Chloramines", (I143*EXP(0.071*G143)+410.7)/849.5, 0)))))</f>
        <v>0</v>
      </c>
      <c r="K143" s="18">
        <f>IF(I143=0, 0,IF(Segments!$D$96="Chlorine", I143/(0.2828*F143^2.69*E143^0.15*0.933^(G143-5)), IF(Segments!$D$96="Chlorine Dioxide", ((I143*G143^0.49)+0.18)/23.85, IF(Segments!$D$96="Ozone", (I143*EXP(0.072*G143)-0.01)/0.98, IF(Segments!$D$96="Chloramines", (I143/(858.5-(24.3*G143))), 0)))))</f>
        <v>0</v>
      </c>
      <c r="L143" s="25">
        <f t="shared" si="58"/>
        <v>0</v>
      </c>
      <c r="M143" s="19">
        <f t="shared" si="59"/>
        <v>0</v>
      </c>
      <c r="O143" s="80"/>
      <c r="P143" s="3" t="str">
        <f>Segments!$C$96</f>
        <v>Not In Use</v>
      </c>
      <c r="Q143" s="36"/>
      <c r="R143" s="36"/>
      <c r="S143" s="36"/>
      <c r="T143" s="36"/>
      <c r="U143" s="34"/>
      <c r="V143" s="29">
        <f>IF(Segments!$C$96="Not In Use",0, (IF(Segments!$F$96="Rectangular",Segments!$D$99*R143-Segments!$D$100, IF(Segments!$C$96="Pipe",Segments!$D$99,Segments!$D$99*R143))))</f>
        <v>0</v>
      </c>
      <c r="W143" s="32">
        <f>IF(Segments!$C$4="Not In Use", 0, IF(Q143=0,0,V143*S143/Q143))</f>
        <v>0</v>
      </c>
      <c r="X143" s="19">
        <f>IF(W143=0, 0,IF(Segments!$D$96="Chlorine", (W143*EXP(0.071*U143)-0.42)/2.94, IF(Segments!$D$96="Chlorine Dioxide", (W143*EXP(0.072*U143)+35.15)/21.25, IF(Segments!$D$96="Ozone", (W143*EXP(0.068*U143)-0.01)/0.47, IF(Segments!$D$96="Chloramines", (W143*EXP(0.071*U143)+410.7)/849.5, 0)))))</f>
        <v>0</v>
      </c>
      <c r="Y143" s="18">
        <f>IF(W143=0, 0,IF(Segments!$D$96="Chlorine", W143/(0.2828*T143^2.69*S143^0.15*0.933^(U143-5)), IF(Segments!$D$96="Chlorine Dioxide", ((W143*U143^0.49)+0.18)/23.85, IF(Segments!$D$96="Ozone", (W143*EXP(0.072*U143)-0.01)/0.98, IF(Segments!$D$96="Chloramines", (W143/(858.5-(24.3*U143))), 0)))))</f>
        <v>0</v>
      </c>
      <c r="Z143" s="25">
        <f t="shared" si="60"/>
        <v>0</v>
      </c>
      <c r="AA143" s="19">
        <f t="shared" si="61"/>
        <v>0</v>
      </c>
    </row>
    <row r="144" spans="1:27" ht="13.5" thickBot="1" x14ac:dyDescent="0.25">
      <c r="A144" s="81"/>
      <c r="B144" s="22" t="s">
        <v>42</v>
      </c>
      <c r="C144" s="23"/>
      <c r="D144" s="23"/>
      <c r="E144" s="23"/>
      <c r="F144" s="23"/>
      <c r="G144" s="23"/>
      <c r="H144" s="26"/>
      <c r="I144" s="50">
        <f>SUM(I135:I143)</f>
        <v>4.7586825000000008</v>
      </c>
      <c r="J144" s="50">
        <f>SUM(J135:J143)</f>
        <v>4.2306326187408043</v>
      </c>
      <c r="K144" s="50">
        <f>SUM(K135:K143)</f>
        <v>0.16094122411830269</v>
      </c>
      <c r="L144" s="50">
        <f>SUM(L135:L143)</f>
        <v>1.0576581546852011</v>
      </c>
      <c r="M144" s="50">
        <f>SUM(M135:M143)</f>
        <v>5.3647074706100896E-2</v>
      </c>
      <c r="O144" s="81"/>
      <c r="P144" s="22" t="s">
        <v>42</v>
      </c>
      <c r="Q144" s="23"/>
      <c r="R144" s="23"/>
      <c r="S144" s="23"/>
      <c r="T144" s="23"/>
      <c r="U144" s="23"/>
      <c r="V144" s="26"/>
      <c r="W144" s="50">
        <f>SUM(W135:W143)</f>
        <v>3.9219910714285717</v>
      </c>
      <c r="X144" s="50">
        <f>SUM(X135:X143)</f>
        <v>3.7268927194332697</v>
      </c>
      <c r="Y144" s="50">
        <f>SUM(Y135:Y143)</f>
        <v>0.12429640719249138</v>
      </c>
      <c r="Z144" s="50">
        <f>SUM(Z135:Z143)</f>
        <v>0.93172317985831743</v>
      </c>
      <c r="AA144" s="50">
        <f>SUM(AA135:AA143)</f>
        <v>4.1432135730830461E-2</v>
      </c>
    </row>
    <row r="145" ht="6" customHeight="1" x14ac:dyDescent="0.2"/>
    <row r="157" ht="6" customHeight="1" x14ac:dyDescent="0.2"/>
    <row r="169" ht="6" customHeight="1" x14ac:dyDescent="0.2"/>
    <row r="181" ht="6" customHeight="1" x14ac:dyDescent="0.2"/>
  </sheetData>
  <sheetProtection password="C724" sheet="1" objects="1" scenarios="1" selectLockedCells="1"/>
  <mergeCells count="31">
    <mergeCell ref="A122:A132"/>
    <mergeCell ref="A134:A144"/>
    <mergeCell ref="O110:O120"/>
    <mergeCell ref="O122:O132"/>
    <mergeCell ref="O134:O144"/>
    <mergeCell ref="A110:A120"/>
    <mergeCell ref="O98:O108"/>
    <mergeCell ref="A98:A108"/>
    <mergeCell ref="A26:A36"/>
    <mergeCell ref="O62:O72"/>
    <mergeCell ref="O74:O84"/>
    <mergeCell ref="O38:O48"/>
    <mergeCell ref="A38:A48"/>
    <mergeCell ref="A74:A84"/>
    <mergeCell ref="A86:A96"/>
    <mergeCell ref="A2:A12"/>
    <mergeCell ref="AQ26:AQ36"/>
    <mergeCell ref="AC38:AC48"/>
    <mergeCell ref="A14:A24"/>
    <mergeCell ref="O2:O12"/>
    <mergeCell ref="O14:O24"/>
    <mergeCell ref="O26:O36"/>
    <mergeCell ref="O86:O96"/>
    <mergeCell ref="AC2:AC12"/>
    <mergeCell ref="AC14:AC24"/>
    <mergeCell ref="AC26:AC36"/>
    <mergeCell ref="O50:O60"/>
    <mergeCell ref="AQ2:AQ12"/>
    <mergeCell ref="AQ14:AQ24"/>
    <mergeCell ref="A50:A60"/>
    <mergeCell ref="A62:A72"/>
  </mergeCells>
  <phoneticPr fontId="2" type="noConversion"/>
  <dataValidations count="1">
    <dataValidation type="decimal" operator="greaterThanOrEqual" allowBlank="1" showInputMessage="1" showErrorMessage="1" errorTitle="Must Be A Number Greater Than 0" sqref="AE39:AI47 AS3:AW11 AS15:AW23 C15:G23 C27:G35 C39:G47 C51:G59 C75:G83 C87:G95 C3:G11 AE15:AI23 AS27:AW35 Q27:U35 Q39:U47 Q51:U59 Q63:U71 Q75:U83 Q87:U95 C135:G143 C63:G71 Q15:U23 C99:G107 C111:G119 C123:G131 Q99:U107 Q111:U119 Q123:U131 AE27:AI35 Q135:U143 AE3:AI11 Q3:U11">
      <formula1>0</formula1>
    </dataValidation>
  </dataValidations>
  <printOptions horizontalCentered="1" verticalCentered="1"/>
  <pageMargins left="0.25" right="0.25" top="0.25" bottom="1" header="0.5" footer="0.5"/>
  <pageSetup scale="45" fitToWidth="2" fitToHeight="2" orientation="landscape" horizontalDpi="300" verticalDpi="300" r:id="rId1"/>
  <headerFooter alignWithMargins="0">
    <oddFooter>&amp;LWater System Name
Plant Name
PWSID #
Month/Year&amp;CGiardia and Virus Removal Profiling
Drinking Water Branch
Alabama Department Of Environmental Management&amp;RReport Prepared By
Name</oddFooter>
  </headerFooter>
  <rowBreaks count="2" manualBreakCount="2">
    <brk id="72" max="16383" man="1"/>
    <brk id="1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46"/>
  <sheetViews>
    <sheetView showGridLines="0" zoomScale="75" workbookViewId="0">
      <selection activeCell="C6" sqref="C6:G7"/>
    </sheetView>
  </sheetViews>
  <sheetFormatPr defaultRowHeight="12.75" x14ac:dyDescent="0.2"/>
  <cols>
    <col min="1" max="1" width="3" customWidth="1"/>
    <col min="2" max="2" width="15" customWidth="1"/>
    <col min="3" max="3" width="13.7109375" customWidth="1"/>
    <col min="4" max="4" width="12.5703125" customWidth="1"/>
    <col min="5" max="5" width="14" customWidth="1"/>
    <col min="6" max="6" width="15.28515625" customWidth="1"/>
    <col min="7" max="7" width="16" customWidth="1"/>
  </cols>
  <sheetData>
    <row r="1" spans="1:10" ht="23.25" x14ac:dyDescent="0.35">
      <c r="A1" s="82" t="s">
        <v>78</v>
      </c>
      <c r="B1" s="82"/>
      <c r="C1" s="82"/>
      <c r="D1" s="82"/>
      <c r="E1" s="82"/>
      <c r="F1" s="82"/>
      <c r="G1" s="82"/>
      <c r="H1" s="37"/>
      <c r="I1" s="37"/>
      <c r="J1" s="15"/>
    </row>
    <row r="2" spans="1:10" ht="18" customHeight="1" thickBot="1" x14ac:dyDescent="0.25">
      <c r="A2" s="60"/>
      <c r="B2" s="61" t="s">
        <v>16</v>
      </c>
      <c r="C2" s="86" t="s">
        <v>16</v>
      </c>
      <c r="D2" s="86"/>
      <c r="E2" s="86"/>
      <c r="F2" s="86"/>
      <c r="G2" s="86"/>
      <c r="H2" s="4"/>
      <c r="I2" s="4"/>
      <c r="J2" s="4"/>
    </row>
    <row r="3" spans="1:10" ht="18" customHeight="1" thickBot="1" x14ac:dyDescent="0.25">
      <c r="A3" s="60"/>
      <c r="B3" s="61" t="s">
        <v>75</v>
      </c>
      <c r="C3" s="87" t="s">
        <v>89</v>
      </c>
      <c r="D3" s="87"/>
      <c r="E3" s="87"/>
      <c r="F3" s="87"/>
      <c r="G3" s="87"/>
      <c r="H3" s="4"/>
      <c r="I3" s="4"/>
      <c r="J3" s="4"/>
    </row>
    <row r="4" spans="1:10" ht="18" customHeight="1" thickBot="1" x14ac:dyDescent="0.25">
      <c r="A4" s="60"/>
      <c r="B4" s="61" t="s">
        <v>76</v>
      </c>
      <c r="C4" s="87" t="s">
        <v>87</v>
      </c>
      <c r="D4" s="87"/>
      <c r="E4" s="87"/>
      <c r="F4" s="87"/>
      <c r="G4" s="87"/>
      <c r="H4" s="4"/>
      <c r="I4" s="4"/>
      <c r="J4" s="4"/>
    </row>
    <row r="5" spans="1:10" ht="18" customHeight="1" thickBot="1" x14ac:dyDescent="0.25">
      <c r="A5" s="60"/>
      <c r="B5" s="61" t="s">
        <v>77</v>
      </c>
      <c r="C5" s="83">
        <v>37865</v>
      </c>
      <c r="D5" s="83"/>
      <c r="E5" s="83"/>
      <c r="F5" s="83"/>
      <c r="G5" s="83"/>
      <c r="H5" s="4"/>
      <c r="I5" s="4"/>
      <c r="J5" s="4"/>
    </row>
    <row r="6" spans="1:10" x14ac:dyDescent="0.2">
      <c r="A6" s="60"/>
      <c r="B6" s="62"/>
      <c r="C6" s="84" t="s">
        <v>88</v>
      </c>
      <c r="D6" s="84"/>
      <c r="E6" s="84"/>
      <c r="F6" s="84"/>
      <c r="G6" s="84"/>
      <c r="H6" s="4"/>
      <c r="I6" s="4"/>
      <c r="J6" s="4"/>
    </row>
    <row r="7" spans="1:10" ht="13.5" thickBot="1" x14ac:dyDescent="0.25">
      <c r="A7" s="60"/>
      <c r="B7" s="61" t="s">
        <v>82</v>
      </c>
      <c r="C7" s="85"/>
      <c r="D7" s="85"/>
      <c r="E7" s="85"/>
      <c r="F7" s="85"/>
      <c r="G7" s="85"/>
      <c r="H7" s="4"/>
      <c r="I7" s="4"/>
      <c r="J7" s="4"/>
    </row>
    <row r="8" spans="1:10" ht="13.5" thickBot="1" x14ac:dyDescent="0.25">
      <c r="J8" s="1"/>
    </row>
    <row r="9" spans="1:10" ht="39" thickBot="1" x14ac:dyDescent="0.25">
      <c r="B9" s="40" t="s">
        <v>4</v>
      </c>
      <c r="C9" s="38" t="s">
        <v>39</v>
      </c>
      <c r="D9" s="38" t="s">
        <v>40</v>
      </c>
      <c r="E9" s="39" t="s">
        <v>41</v>
      </c>
      <c r="F9" s="38" t="s">
        <v>36</v>
      </c>
    </row>
    <row r="10" spans="1:10" x14ac:dyDescent="0.2">
      <c r="B10" s="68">
        <v>1</v>
      </c>
      <c r="C10" s="69">
        <f>IF('Calculation Page'!J12=0, "", 'Calculation Page'!J12)</f>
        <v>146.49565716496525</v>
      </c>
      <c r="D10" s="70">
        <f>IF('Calculation Page'!K12=0, "", 'Calculation Page'!K12)</f>
        <v>5.3142450391756331</v>
      </c>
      <c r="E10" s="69">
        <f>IF('Calculation Page'!L12=0, "", 'Calculation Page'!L12)</f>
        <v>36.623914291241313</v>
      </c>
      <c r="F10" s="70">
        <f>IF('Calculation Page'!M12=0, "", 'Calculation Page'!M12)</f>
        <v>1.7714150130585442</v>
      </c>
      <c r="H10" s="2"/>
    </row>
    <row r="11" spans="1:10" x14ac:dyDescent="0.2">
      <c r="B11" s="71">
        <v>2</v>
      </c>
      <c r="C11" s="72">
        <f>IF('Calculation Page'!J24=0, "", 'Calculation Page'!J24)</f>
        <v>146.49565716496525</v>
      </c>
      <c r="D11" s="73">
        <f>IF('Calculation Page'!K24=0, "", 'Calculation Page'!K24)</f>
        <v>5.3142450391756331</v>
      </c>
      <c r="E11" s="72">
        <f>IF('Calculation Page'!L24=0, "", 'Calculation Page'!L24)</f>
        <v>36.623914291241313</v>
      </c>
      <c r="F11" s="73">
        <f>IF('Calculation Page'!M24=0, "", 'Calculation Page'!M24)</f>
        <v>1.7714150130585442</v>
      </c>
      <c r="H11" s="2"/>
    </row>
    <row r="12" spans="1:10" x14ac:dyDescent="0.2">
      <c r="B12" s="71">
        <v>3</v>
      </c>
      <c r="C12" s="72">
        <f>IF('Calculation Page'!J36=0, "", 'Calculation Page'!J36)</f>
        <v>146.49565716496525</v>
      </c>
      <c r="D12" s="73">
        <f>IF('Calculation Page'!K36=0, "", 'Calculation Page'!K36)</f>
        <v>5.3142450391756331</v>
      </c>
      <c r="E12" s="72">
        <f>IF('Calculation Page'!L36=0, "", 'Calculation Page'!L36)</f>
        <v>36.623914291241313</v>
      </c>
      <c r="F12" s="73">
        <f>IF('Calculation Page'!M36=0, "", 'Calculation Page'!M36)</f>
        <v>1.7714150130585442</v>
      </c>
      <c r="H12" s="2"/>
    </row>
    <row r="13" spans="1:10" x14ac:dyDescent="0.2">
      <c r="B13" s="71">
        <v>4</v>
      </c>
      <c r="C13" s="72">
        <f>IF('Calculation Page'!J48=0, "", 'Calculation Page'!J48)</f>
        <v>146.49565716496525</v>
      </c>
      <c r="D13" s="73">
        <f>IF('Calculation Page'!K48=0, "", 'Calculation Page'!K48)</f>
        <v>5.3142450391756331</v>
      </c>
      <c r="E13" s="72">
        <f>IF('Calculation Page'!L48=0, "", 'Calculation Page'!L48)</f>
        <v>36.623914291241313</v>
      </c>
      <c r="F13" s="73">
        <f>IF('Calculation Page'!M48=0, "", 'Calculation Page'!M48)</f>
        <v>1.7714150130585442</v>
      </c>
      <c r="H13" s="2"/>
    </row>
    <row r="14" spans="1:10" x14ac:dyDescent="0.2">
      <c r="B14" s="71">
        <v>5</v>
      </c>
      <c r="C14" s="72">
        <f>IF('Calculation Page'!J60=0, "", 'Calculation Page'!J60)</f>
        <v>146.49565716496525</v>
      </c>
      <c r="D14" s="73">
        <f>IF('Calculation Page'!K60=0, "", 'Calculation Page'!K60)</f>
        <v>5.3142450391756331</v>
      </c>
      <c r="E14" s="72">
        <f>IF('Calculation Page'!L60=0, "", 'Calculation Page'!L60)</f>
        <v>36.623914291241313</v>
      </c>
      <c r="F14" s="73">
        <f>IF('Calculation Page'!M60=0, "", 'Calculation Page'!M60)</f>
        <v>1.7714150130585442</v>
      </c>
      <c r="H14" s="2"/>
    </row>
    <row r="15" spans="1:10" x14ac:dyDescent="0.2">
      <c r="B15" s="71">
        <v>6</v>
      </c>
      <c r="C15" s="72">
        <f>IF('Calculation Page'!J72=0, "", 'Calculation Page'!J72)</f>
        <v>146.49565716496525</v>
      </c>
      <c r="D15" s="73">
        <f>IF('Calculation Page'!K72=0, "", 'Calculation Page'!K72)</f>
        <v>5.3142450391756331</v>
      </c>
      <c r="E15" s="72">
        <f>IF('Calculation Page'!L72=0, "", 'Calculation Page'!L72)</f>
        <v>36.623914291241313</v>
      </c>
      <c r="F15" s="73">
        <f>IF('Calculation Page'!M72=0, "", 'Calculation Page'!M72)</f>
        <v>1.7714150130585442</v>
      </c>
      <c r="H15" s="2"/>
    </row>
    <row r="16" spans="1:10" x14ac:dyDescent="0.2">
      <c r="B16" s="71">
        <v>7</v>
      </c>
      <c r="C16" s="72">
        <f>IF('Calculation Page'!X12=0, "", 'Calculation Page'!X12)</f>
        <v>146.49565716496525</v>
      </c>
      <c r="D16" s="73">
        <f>IF('Calculation Page'!Y12=0, "", 'Calculation Page'!Y12)</f>
        <v>5.3142450391756331</v>
      </c>
      <c r="E16" s="72">
        <f>IF('Calculation Page'!Z12=0, "", 'Calculation Page'!Z12)</f>
        <v>36.623914291241313</v>
      </c>
      <c r="F16" s="73">
        <f>IF('Calculation Page'!AA12=0, "", 'Calculation Page'!AA12)</f>
        <v>1.7714150130585442</v>
      </c>
      <c r="H16" s="2"/>
    </row>
    <row r="17" spans="2:8" x14ac:dyDescent="0.2">
      <c r="B17" s="71">
        <v>8</v>
      </c>
      <c r="C17" s="72">
        <f>IF('Calculation Page'!X24=0, "", 'Calculation Page'!X24)</f>
        <v>146.49565716496525</v>
      </c>
      <c r="D17" s="73">
        <f>IF('Calculation Page'!Y24=0, "", 'Calculation Page'!Y24)</f>
        <v>5.3142450391756331</v>
      </c>
      <c r="E17" s="72">
        <f>IF('Calculation Page'!Z24=0, "", 'Calculation Page'!Z24)</f>
        <v>36.623914291241313</v>
      </c>
      <c r="F17" s="73">
        <f>IF('Calculation Page'!AA24=0, "", 'Calculation Page'!AA24)</f>
        <v>1.7714150130585442</v>
      </c>
      <c r="H17" s="2"/>
    </row>
    <row r="18" spans="2:8" x14ac:dyDescent="0.2">
      <c r="B18" s="71">
        <v>9</v>
      </c>
      <c r="C18" s="72">
        <f>IF('Calculation Page'!X36=0, "", 'Calculation Page'!X36)</f>
        <v>146.49565716496525</v>
      </c>
      <c r="D18" s="73">
        <f>IF('Calculation Page'!Y36=0, "", 'Calculation Page'!Y36)</f>
        <v>5.3142450391756331</v>
      </c>
      <c r="E18" s="72">
        <f>IF('Calculation Page'!Z36=0, "", 'Calculation Page'!Z36)</f>
        <v>36.623914291241313</v>
      </c>
      <c r="F18" s="73">
        <f>IF('Calculation Page'!AA36=0, "", 'Calculation Page'!AA36)</f>
        <v>1.7714150130585442</v>
      </c>
      <c r="H18" s="2"/>
    </row>
    <row r="19" spans="2:8" x14ac:dyDescent="0.2">
      <c r="B19" s="71">
        <v>10</v>
      </c>
      <c r="C19" s="72">
        <f>IF('Calculation Page'!X48=0, "", 'Calculation Page'!X48)</f>
        <v>146.49565716496525</v>
      </c>
      <c r="D19" s="73">
        <f>IF('Calculation Page'!Y48=0, "", 'Calculation Page'!Y48)</f>
        <v>5.3142450391756331</v>
      </c>
      <c r="E19" s="72">
        <f>IF('Calculation Page'!Z48=0, "", 'Calculation Page'!Z48)</f>
        <v>36.623914291241313</v>
      </c>
      <c r="F19" s="73">
        <f>IF('Calculation Page'!AA48=0, "", 'Calculation Page'!AA48)</f>
        <v>1.7714150130585442</v>
      </c>
      <c r="H19" s="2"/>
    </row>
    <row r="20" spans="2:8" x14ac:dyDescent="0.2">
      <c r="B20" s="71">
        <v>11</v>
      </c>
      <c r="C20" s="72">
        <f>IF('Calculation Page'!X60=0, "", 'Calculation Page'!X60)</f>
        <v>146.49565716496525</v>
      </c>
      <c r="D20" s="73">
        <f>IF('Calculation Page'!Y60=0, "", 'Calculation Page'!Y60)</f>
        <v>5.3142450391756331</v>
      </c>
      <c r="E20" s="72">
        <f>IF('Calculation Page'!Z60=0, "", 'Calculation Page'!Z60)</f>
        <v>36.623914291241313</v>
      </c>
      <c r="F20" s="73">
        <f>IF('Calculation Page'!AA60=0, "", 'Calculation Page'!AA60)</f>
        <v>1.7714150130585442</v>
      </c>
      <c r="H20" s="2"/>
    </row>
    <row r="21" spans="2:8" x14ac:dyDescent="0.2">
      <c r="B21" s="71">
        <v>12</v>
      </c>
      <c r="C21" s="72">
        <f>IF('Calculation Page'!X72=0, "", 'Calculation Page'!X72)</f>
        <v>146.49565716496525</v>
      </c>
      <c r="D21" s="73">
        <f>IF('Calculation Page'!Y72=0, "", 'Calculation Page'!Y72)</f>
        <v>5.3142450391756331</v>
      </c>
      <c r="E21" s="72">
        <f>IF('Calculation Page'!Z72=0, "", 'Calculation Page'!Z72)</f>
        <v>36.623914291241313</v>
      </c>
      <c r="F21" s="73">
        <f>IF('Calculation Page'!AA72=0, "", 'Calculation Page'!AA72)</f>
        <v>1.7714150130585442</v>
      </c>
      <c r="H21" s="2"/>
    </row>
    <row r="22" spans="2:8" x14ac:dyDescent="0.2">
      <c r="B22" s="71">
        <v>13</v>
      </c>
      <c r="C22" s="72">
        <f>IF('Calculation Page'!J84=0, "", 'Calculation Page'!J84)</f>
        <v>146.49565716496525</v>
      </c>
      <c r="D22" s="73">
        <f>IF('Calculation Page'!K84=0, "", 'Calculation Page'!K84)</f>
        <v>5.3142450391756331</v>
      </c>
      <c r="E22" s="72">
        <f>IF('Calculation Page'!L84=0, "", 'Calculation Page'!L84)</f>
        <v>36.623914291241313</v>
      </c>
      <c r="F22" s="73">
        <f>IF('Calculation Page'!M84=0, "", 'Calculation Page'!M84)</f>
        <v>1.7714150130585442</v>
      </c>
      <c r="H22" s="2"/>
    </row>
    <row r="23" spans="2:8" x14ac:dyDescent="0.2">
      <c r="B23" s="71">
        <v>14</v>
      </c>
      <c r="C23" s="72">
        <f>IF('Calculation Page'!J96=0, "", 'Calculation Page'!J96)</f>
        <v>146.49565716496525</v>
      </c>
      <c r="D23" s="73">
        <f>IF('Calculation Page'!K96=0, "", 'Calculation Page'!K96)</f>
        <v>5.3142450391756331</v>
      </c>
      <c r="E23" s="72">
        <f>IF('Calculation Page'!L96=0, "", 'Calculation Page'!L96)</f>
        <v>36.623914291241313</v>
      </c>
      <c r="F23" s="73">
        <f>IF('Calculation Page'!M96=0, "", 'Calculation Page'!M96)</f>
        <v>1.7714150130585442</v>
      </c>
      <c r="H23" s="2"/>
    </row>
    <row r="24" spans="2:8" x14ac:dyDescent="0.2">
      <c r="B24" s="71">
        <v>15</v>
      </c>
      <c r="C24" s="72">
        <f>IF('Calculation Page'!J108=0, "", 'Calculation Page'!J108)</f>
        <v>3.7268927194332697</v>
      </c>
      <c r="D24" s="73">
        <f>IF('Calculation Page'!K108=0, "", 'Calculation Page'!K108)</f>
        <v>0.11557988836844089</v>
      </c>
      <c r="E24" s="72">
        <f>IF('Calculation Page'!L108=0, "", 'Calculation Page'!L108)</f>
        <v>0.93172317985831743</v>
      </c>
      <c r="F24" s="73">
        <f>IF('Calculation Page'!M108=0, "", 'Calculation Page'!M108)</f>
        <v>3.8526629456146967E-2</v>
      </c>
      <c r="H24" s="2"/>
    </row>
    <row r="25" spans="2:8" x14ac:dyDescent="0.2">
      <c r="B25" s="71">
        <v>16</v>
      </c>
      <c r="C25" s="72">
        <f>IF('Calculation Page'!J120=0, "", 'Calculation Page'!J120)</f>
        <v>3.8118387403764853</v>
      </c>
      <c r="D25" s="73">
        <f>IF('Calculation Page'!K120=0, "", 'Calculation Page'!K120)</f>
        <v>0.10704198790186656</v>
      </c>
      <c r="E25" s="72">
        <f>IF('Calculation Page'!L120=0, "", 'Calculation Page'!L120)</f>
        <v>0.95295968509412132</v>
      </c>
      <c r="F25" s="73">
        <f>IF('Calculation Page'!M120=0, "", 'Calculation Page'!M120)</f>
        <v>3.5680662633955522E-2</v>
      </c>
      <c r="H25" s="2"/>
    </row>
    <row r="26" spans="2:8" x14ac:dyDescent="0.2">
      <c r="B26" s="71">
        <v>17</v>
      </c>
      <c r="C26" s="72">
        <f>IF('Calculation Page'!J132=0, "", 'Calculation Page'!J132)</f>
        <v>4.1224200794634838</v>
      </c>
      <c r="D26" s="73">
        <f>IF('Calculation Page'!K132=0, "", 'Calculation Page'!K132)</f>
        <v>0.12595800696326448</v>
      </c>
      <c r="E26" s="72">
        <f>IF('Calculation Page'!L132=0, "", 'Calculation Page'!L132)</f>
        <v>1.0306050198658709</v>
      </c>
      <c r="F26" s="73">
        <f>IF('Calculation Page'!M132=0, "", 'Calculation Page'!M132)</f>
        <v>4.1986002321088157E-2</v>
      </c>
      <c r="H26" s="2"/>
    </row>
    <row r="27" spans="2:8" x14ac:dyDescent="0.2">
      <c r="B27" s="71">
        <v>18</v>
      </c>
      <c r="C27" s="72">
        <f>IF('Calculation Page'!J144=0, "", 'Calculation Page'!J144)</f>
        <v>4.2306326187408043</v>
      </c>
      <c r="D27" s="73">
        <f>IF('Calculation Page'!K144=0, "", 'Calculation Page'!K144)</f>
        <v>0.16094122411830269</v>
      </c>
      <c r="E27" s="72">
        <f>IF('Calculation Page'!L144=0, "", 'Calculation Page'!L144)</f>
        <v>1.0576581546852011</v>
      </c>
      <c r="F27" s="73">
        <f>IF('Calculation Page'!M144=0, "", 'Calculation Page'!M144)</f>
        <v>5.3647074706100896E-2</v>
      </c>
      <c r="H27" s="2"/>
    </row>
    <row r="28" spans="2:8" x14ac:dyDescent="0.2">
      <c r="B28" s="71">
        <v>19</v>
      </c>
      <c r="C28" s="72">
        <f>IF('Calculation Page'!X84=0, "", 'Calculation Page'!X84)</f>
        <v>2.8849434613260505</v>
      </c>
      <c r="D28" s="73">
        <f>IF('Calculation Page'!Y84=0, "", 'Calculation Page'!Y84)</f>
        <v>9.4889718101434636E-2</v>
      </c>
      <c r="E28" s="72">
        <f>IF('Calculation Page'!Z84=0, "", 'Calculation Page'!Z84)</f>
        <v>0.72123586533151263</v>
      </c>
      <c r="F28" s="73">
        <f>IF('Calculation Page'!AA84=0, "", 'Calculation Page'!AA84)</f>
        <v>3.1629906033811543E-2</v>
      </c>
      <c r="H28" s="2"/>
    </row>
    <row r="29" spans="2:8" x14ac:dyDescent="0.2">
      <c r="B29" s="71">
        <v>20</v>
      </c>
      <c r="C29" s="72">
        <f>IF('Calculation Page'!X96=0, "", 'Calculation Page'!X96)</f>
        <v>3.7059315743458638</v>
      </c>
      <c r="D29" s="73">
        <f>IF('Calculation Page'!Y96=0, "", 'Calculation Page'!Y96)</f>
        <v>0.11438982144797637</v>
      </c>
      <c r="E29" s="72">
        <f>IF('Calculation Page'!Z96=0, "", 'Calculation Page'!Z96)</f>
        <v>0.92648289358646596</v>
      </c>
      <c r="F29" s="73">
        <f>IF('Calculation Page'!AA96=0, "", 'Calculation Page'!AA96)</f>
        <v>3.8129940482658789E-2</v>
      </c>
      <c r="H29" s="2"/>
    </row>
    <row r="30" spans="2:8" x14ac:dyDescent="0.2">
      <c r="B30" s="71">
        <v>21</v>
      </c>
      <c r="C30" s="72">
        <f>IF('Calculation Page'!X108=0, "", 'Calculation Page'!X108)</f>
        <v>5.1753398943270694</v>
      </c>
      <c r="D30" s="73">
        <f>IF('Calculation Page'!Y108=0, "", 'Calculation Page'!Y108)</f>
        <v>0.16182329662462355</v>
      </c>
      <c r="E30" s="72">
        <f>IF('Calculation Page'!Z108=0, "", 'Calculation Page'!Z108)</f>
        <v>1.2938349735817674</v>
      </c>
      <c r="F30" s="73">
        <f>IF('Calculation Page'!AA108=0, "", 'Calculation Page'!AA108)</f>
        <v>5.394109887487452E-2</v>
      </c>
      <c r="H30" s="2"/>
    </row>
    <row r="31" spans="2:8" x14ac:dyDescent="0.2">
      <c r="B31" s="71">
        <v>22</v>
      </c>
      <c r="C31" s="72">
        <f>IF('Calculation Page'!X120=0, "", 'Calculation Page'!X120)</f>
        <v>4.5008426918913518</v>
      </c>
      <c r="D31" s="73">
        <f>IF('Calculation Page'!Y120=0, "", 'Calculation Page'!Y120)</f>
        <v>0.13869586604212908</v>
      </c>
      <c r="E31" s="72">
        <f>IF('Calculation Page'!Z120=0, "", 'Calculation Page'!Z120)</f>
        <v>1.1252106729728379</v>
      </c>
      <c r="F31" s="73">
        <f>IF('Calculation Page'!AA120=0, "", 'Calculation Page'!AA120)</f>
        <v>4.6231955347376362E-2</v>
      </c>
      <c r="H31" s="2"/>
    </row>
    <row r="32" spans="2:8" x14ac:dyDescent="0.2">
      <c r="B32" s="71">
        <v>23</v>
      </c>
      <c r="C32" s="72">
        <f>IF('Calculation Page'!X132=0, "", 'Calculation Page'!X132)</f>
        <v>2.5659677607461462</v>
      </c>
      <c r="D32" s="73">
        <f>IF('Calculation Page'!Y132=0, "", 'Calculation Page'!Y132)</f>
        <v>9.0296453622831271E-2</v>
      </c>
      <c r="E32" s="72">
        <f>IF('Calculation Page'!Z132=0, "", 'Calculation Page'!Z132)</f>
        <v>0.64149194018653655</v>
      </c>
      <c r="F32" s="73">
        <f>IF('Calculation Page'!AA132=0, "", 'Calculation Page'!AA132)</f>
        <v>3.0098817874277092E-2</v>
      </c>
      <c r="H32" s="2"/>
    </row>
    <row r="33" spans="2:8" x14ac:dyDescent="0.2">
      <c r="B33" s="71">
        <v>24</v>
      </c>
      <c r="C33" s="72">
        <f>IF('Calculation Page'!X144=0, "", 'Calculation Page'!X144)</f>
        <v>3.7268927194332697</v>
      </c>
      <c r="D33" s="73">
        <f>IF('Calculation Page'!Y144=0, "", 'Calculation Page'!Y144)</f>
        <v>0.12429640719249138</v>
      </c>
      <c r="E33" s="72">
        <f>IF('Calculation Page'!Z144=0, "", 'Calculation Page'!Z144)</f>
        <v>0.93172317985831743</v>
      </c>
      <c r="F33" s="73">
        <f>IF('Calculation Page'!AA144=0, "", 'Calculation Page'!AA144)</f>
        <v>4.1432135730830461E-2</v>
      </c>
      <c r="H33" s="2"/>
    </row>
    <row r="34" spans="2:8" x14ac:dyDescent="0.2">
      <c r="B34" s="71">
        <v>25</v>
      </c>
      <c r="C34" s="72">
        <f>IF('Calculation Page'!AL12=0, "", 'Calculation Page'!AL12)</f>
        <v>3.7268927194332697</v>
      </c>
      <c r="D34" s="73">
        <f>IF('Calculation Page'!AM12=0, "", 'Calculation Page'!AM12)</f>
        <v>0.11557988836844089</v>
      </c>
      <c r="E34" s="72">
        <f>IF('Calculation Page'!AN12=0, "", 'Calculation Page'!AN12)</f>
        <v>0.93172317985831743</v>
      </c>
      <c r="F34" s="73">
        <f>IF('Calculation Page'!AO12=0, "", 'Calculation Page'!AO12)</f>
        <v>3.8526629456146967E-2</v>
      </c>
      <c r="H34" s="2"/>
    </row>
    <row r="35" spans="2:8" x14ac:dyDescent="0.2">
      <c r="B35" s="71">
        <v>26</v>
      </c>
      <c r="C35" s="72">
        <f>IF('Calculation Page'!AL24=0, "", 'Calculation Page'!AL24)</f>
        <v>3.7268927194332697</v>
      </c>
      <c r="D35" s="73">
        <f>IF('Calculation Page'!AM24=0, "", 'Calculation Page'!AM24)</f>
        <v>0.11557988836844089</v>
      </c>
      <c r="E35" s="72">
        <f>IF('Calculation Page'!AN24=0, "", 'Calculation Page'!AN24)</f>
        <v>0.93172317985831743</v>
      </c>
      <c r="F35" s="73">
        <f>IF('Calculation Page'!AO24=0, "", 'Calculation Page'!AO24)</f>
        <v>3.8526629456146967E-2</v>
      </c>
      <c r="H35" s="2"/>
    </row>
    <row r="36" spans="2:8" x14ac:dyDescent="0.2">
      <c r="B36" s="71">
        <v>27</v>
      </c>
      <c r="C36" s="72">
        <f>IF('Calculation Page'!AL36=0, "", 'Calculation Page'!AL36)</f>
        <v>3.7268927194332697</v>
      </c>
      <c r="D36" s="73">
        <f>IF('Calculation Page'!AM36=0, "", 'Calculation Page'!AM36)</f>
        <v>0.11557988836844089</v>
      </c>
      <c r="E36" s="72">
        <f>IF('Calculation Page'!AN36=0, "", 'Calculation Page'!AN36)</f>
        <v>0.93172317985831743</v>
      </c>
      <c r="F36" s="73">
        <f>IF('Calculation Page'!AO36=0, "", 'Calculation Page'!AO36)</f>
        <v>3.8526629456146967E-2</v>
      </c>
      <c r="H36" s="2"/>
    </row>
    <row r="37" spans="2:8" x14ac:dyDescent="0.2">
      <c r="B37" s="71">
        <v>28</v>
      </c>
      <c r="C37" s="72">
        <f>IF('Calculation Page'!AL48=0, "", 'Calculation Page'!AL48)</f>
        <v>3.7268927194332697</v>
      </c>
      <c r="D37" s="73">
        <f>IF('Calculation Page'!AM48=0, "", 'Calculation Page'!AM48)</f>
        <v>0.11557988836844089</v>
      </c>
      <c r="E37" s="72">
        <f>IF('Calculation Page'!AN48=0, "", 'Calculation Page'!AN48)</f>
        <v>0.93172317985831743</v>
      </c>
      <c r="F37" s="73">
        <f>IF('Calculation Page'!AO48=0, "", 'Calculation Page'!AO48)</f>
        <v>3.8526629456146967E-2</v>
      </c>
      <c r="H37" s="2"/>
    </row>
    <row r="38" spans="2:8" x14ac:dyDescent="0.2">
      <c r="B38" s="71">
        <f>IF(C38="","",29)</f>
        <v>29</v>
      </c>
      <c r="C38" s="72">
        <f>IF('Calculation Page'!AZ12=0, "", 'Calculation Page'!AZ12)</f>
        <v>3.7268927194332697</v>
      </c>
      <c r="D38" s="73">
        <f>IF('Calculation Page'!BA12=0, "", 'Calculation Page'!BA12)</f>
        <v>0.11557988836844089</v>
      </c>
      <c r="E38" s="72">
        <f>IF('Calculation Page'!BB12=0, "", 'Calculation Page'!BB12)</f>
        <v>0.93172317985831743</v>
      </c>
      <c r="F38" s="73">
        <f>IF('Calculation Page'!BC12=0, "", 'Calculation Page'!BC12)</f>
        <v>3.8526629456146967E-2</v>
      </c>
      <c r="H38" s="2"/>
    </row>
    <row r="39" spans="2:8" x14ac:dyDescent="0.2">
      <c r="B39" s="71">
        <f>IF(C39="","",30)</f>
        <v>30</v>
      </c>
      <c r="C39" s="72">
        <f>IF('Calculation Page'!AZ24=0, "", 'Calculation Page'!AZ24)</f>
        <v>3.7268927194332697</v>
      </c>
      <c r="D39" s="73">
        <f>IF('Calculation Page'!BA24=0, "", 'Calculation Page'!BA24)</f>
        <v>0.11557988836844089</v>
      </c>
      <c r="E39" s="72">
        <f>IF('Calculation Page'!BB24=0, "", 'Calculation Page'!BB24)</f>
        <v>0.93172317985831743</v>
      </c>
      <c r="F39" s="73">
        <f>IF('Calculation Page'!BC24=0, "", 'Calculation Page'!BC24)</f>
        <v>3.8526629456146967E-2</v>
      </c>
      <c r="H39" s="2"/>
    </row>
    <row r="40" spans="2:8" ht="13.5" thickBot="1" x14ac:dyDescent="0.25">
      <c r="B40" s="74">
        <f>IF(C40="","",31)</f>
        <v>31</v>
      </c>
      <c r="C40" s="75">
        <f>IF('Calculation Page'!AZ36=0, "", 'Calculation Page'!AZ36)</f>
        <v>3.7268927194332697</v>
      </c>
      <c r="D40" s="76">
        <f>IF('Calculation Page'!BA36=0, "", 'Calculation Page'!BA36)</f>
        <v>0.11557988836844089</v>
      </c>
      <c r="E40" s="75">
        <f>IF('Calculation Page'!BB36=0, "", 'Calculation Page'!BB36)</f>
        <v>0.93172317985831743</v>
      </c>
      <c r="F40" s="76">
        <f>IF('Calculation Page'!BC36=0, "", 'Calculation Page'!BC36)</f>
        <v>3.8526629456146967E-2</v>
      </c>
      <c r="H40" s="2"/>
    </row>
    <row r="41" spans="2:8" x14ac:dyDescent="0.2">
      <c r="B41" s="43" t="s">
        <v>79</v>
      </c>
      <c r="C41" s="42">
        <f>MAX(C10:C40)</f>
        <v>146.49565716496525</v>
      </c>
      <c r="D41" s="41">
        <f>MAX(D10:D40)</f>
        <v>5.3142450391756331</v>
      </c>
      <c r="E41" s="42">
        <f>MAX(E10:E40)</f>
        <v>36.623914291241313</v>
      </c>
      <c r="F41" s="41">
        <f>MAX(F10:F40)</f>
        <v>1.7714150130585442</v>
      </c>
      <c r="H41" s="2"/>
    </row>
    <row r="42" spans="2:8" x14ac:dyDescent="0.2">
      <c r="B42" s="43" t="s">
        <v>80</v>
      </c>
      <c r="C42" s="45">
        <f>AVERAGE(C10:C40)</f>
        <v>68.241262955020304</v>
      </c>
      <c r="D42" s="44">
        <f>AVERAGE(D10:D40)</f>
        <v>2.4658839495942355</v>
      </c>
      <c r="E42" s="45">
        <f>AVERAGE(E10:E40)</f>
        <v>17.060315738755076</v>
      </c>
      <c r="F42" s="44">
        <f>AVERAGE(F10:F40)</f>
        <v>0.82196131653141158</v>
      </c>
      <c r="H42" s="2"/>
    </row>
    <row r="43" spans="2:8" ht="13.5" thickBot="1" x14ac:dyDescent="0.25">
      <c r="B43" s="46" t="s">
        <v>81</v>
      </c>
      <c r="C43" s="48">
        <f>MIN(C10:C40)</f>
        <v>2.5659677607461462</v>
      </c>
      <c r="D43" s="47">
        <f>MIN(D10:D40)</f>
        <v>9.0296453622831271E-2</v>
      </c>
      <c r="E43" s="48">
        <f>MIN(E10:E40)</f>
        <v>0.64149194018653655</v>
      </c>
      <c r="F43" s="47">
        <f>MIN(F10:F40)</f>
        <v>3.0098817874277092E-2</v>
      </c>
      <c r="H43" s="2"/>
    </row>
    <row r="44" spans="2:8" x14ac:dyDescent="0.2">
      <c r="H44" s="2"/>
    </row>
    <row r="45" spans="2:8" x14ac:dyDescent="0.2">
      <c r="B45" s="2"/>
      <c r="C45" s="2"/>
      <c r="D45" s="2"/>
      <c r="E45" s="2"/>
      <c r="F45" s="2"/>
      <c r="G45" s="2"/>
      <c r="H45" s="2"/>
    </row>
    <row r="46" spans="2:8" x14ac:dyDescent="0.2">
      <c r="B46" s="2"/>
      <c r="C46" s="2"/>
      <c r="D46" s="2"/>
      <c r="E46" s="2"/>
      <c r="F46" s="2"/>
      <c r="G46" s="2"/>
      <c r="H46" s="2"/>
    </row>
  </sheetData>
  <sheetProtection password="C724" sheet="1" objects="1" scenarios="1" selectLockedCells="1"/>
  <mergeCells count="6">
    <mergeCell ref="A1:G1"/>
    <mergeCell ref="C5:G5"/>
    <mergeCell ref="C6:G7"/>
    <mergeCell ref="C2:G2"/>
    <mergeCell ref="C3:G3"/>
    <mergeCell ref="C4:G4"/>
  </mergeCells>
  <phoneticPr fontId="2" type="noConversion"/>
  <conditionalFormatting sqref="C10:C43">
    <cfRule type="cellIs" dxfId="2" priority="1" stopIfTrue="1" operator="lessThan">
      <formula>4</formula>
    </cfRule>
  </conditionalFormatting>
  <conditionalFormatting sqref="D10:D43">
    <cfRule type="cellIs" dxfId="1" priority="2" stopIfTrue="1" operator="lessThan">
      <formula>3</formula>
    </cfRule>
  </conditionalFormatting>
  <conditionalFormatting sqref="E10:F43">
    <cfRule type="cellIs" dxfId="0" priority="3" stopIfTrue="1" operator="lessThan">
      <formula>1</formula>
    </cfRule>
  </conditionalFormatting>
  <pageMargins left="0.75" right="0.75" top="1" bottom="1" header="0.5" footer="0.5"/>
  <pageSetup orientation="portrait" horizontalDpi="300" verticalDpi="300" r:id="rId1"/>
  <headerFooter alignWithMargins="0">
    <oddFooter>&amp;CGiardia and Virus Removal Profiling
Drinking Water Branch
Alabama Department of Environmental Management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F6"/>
  <sheetViews>
    <sheetView showGridLines="0" zoomScale="75" workbookViewId="0">
      <selection sqref="A1:IV65536"/>
    </sheetView>
  </sheetViews>
  <sheetFormatPr defaultRowHeight="12.75" x14ac:dyDescent="0.2"/>
  <cols>
    <col min="1" max="1" width="13.85546875" style="60" customWidth="1"/>
    <col min="2" max="16384" width="9.140625" style="60"/>
  </cols>
  <sheetData>
    <row r="1" spans="1:6" ht="13.5" thickBot="1" x14ac:dyDescent="0.25">
      <c r="A1" s="61" t="s">
        <v>16</v>
      </c>
      <c r="B1" s="90" t="str">
        <f>'Month Summary'!C2</f>
        <v>System Name</v>
      </c>
      <c r="C1" s="90"/>
      <c r="D1" s="90"/>
      <c r="E1" s="90"/>
      <c r="F1" s="90"/>
    </row>
    <row r="2" spans="1:6" ht="13.5" thickBot="1" x14ac:dyDescent="0.25">
      <c r="A2" s="61" t="s">
        <v>75</v>
      </c>
      <c r="B2" s="91" t="str">
        <f>'Month Summary'!C3</f>
        <v>AL5555555</v>
      </c>
      <c r="C2" s="91"/>
      <c r="D2" s="91"/>
      <c r="E2" s="91"/>
      <c r="F2" s="91"/>
    </row>
    <row r="3" spans="1:6" ht="13.5" thickBot="1" x14ac:dyDescent="0.25">
      <c r="A3" s="61" t="s">
        <v>76</v>
      </c>
      <c r="B3" s="91" t="str">
        <f>'Month Summary'!C4</f>
        <v>Water Treatment Plant Name</v>
      </c>
      <c r="C3" s="91"/>
      <c r="D3" s="91"/>
      <c r="E3" s="91"/>
      <c r="F3" s="91"/>
    </row>
    <row r="4" spans="1:6" ht="13.5" thickBot="1" x14ac:dyDescent="0.25">
      <c r="A4" s="61" t="s">
        <v>77</v>
      </c>
      <c r="B4" s="92">
        <f>'Month Summary'!C5</f>
        <v>37865</v>
      </c>
      <c r="C4" s="92"/>
      <c r="D4" s="92"/>
      <c r="E4" s="92"/>
      <c r="F4" s="92"/>
    </row>
    <row r="5" spans="1:6" x14ac:dyDescent="0.2">
      <c r="A5" s="62"/>
      <c r="B5" s="88"/>
      <c r="C5" s="88"/>
      <c r="D5" s="88"/>
      <c r="E5" s="88"/>
      <c r="F5" s="88"/>
    </row>
    <row r="6" spans="1:6" ht="13.5" thickBot="1" x14ac:dyDescent="0.25">
      <c r="A6" s="61" t="s">
        <v>82</v>
      </c>
      <c r="B6" s="89"/>
      <c r="C6" s="89"/>
      <c r="D6" s="89"/>
      <c r="E6" s="89"/>
      <c r="F6" s="89"/>
    </row>
  </sheetData>
  <sheetProtection password="C724" sheet="1" objects="1" scenarios="1" selectLockedCells="1"/>
  <mergeCells count="5">
    <mergeCell ref="B5:F6"/>
    <mergeCell ref="B1:F1"/>
    <mergeCell ref="B2:F2"/>
    <mergeCell ref="B3:F3"/>
    <mergeCell ref="B4:F4"/>
  </mergeCells>
  <phoneticPr fontId="2" type="noConversion"/>
  <pageMargins left="0.75" right="0.75" top="1" bottom="1" header="0.5" footer="0.5"/>
  <pageSetup scale="75" orientation="portrait" horizontalDpi="300" verticalDpi="300" r:id="rId1"/>
  <headerFooter alignWithMargins="0">
    <oddFooter>&amp;CGiardia and Virus Removal Profiling
Drinking Water Branch
Alabama Department of Environmental Management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Segments</vt:lpstr>
      <vt:lpstr>Calculation Page</vt:lpstr>
      <vt:lpstr>Month Summary</vt:lpstr>
      <vt:lpstr>Month Graph</vt:lpstr>
      <vt:lpstr>Segments!Print_Area</vt:lpstr>
    </vt:vector>
  </TitlesOfParts>
  <Company>ADEM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Alabama</dc:creator>
  <cp:lastModifiedBy>dbarton</cp:lastModifiedBy>
  <cp:lastPrinted>2018-02-08T17:06:04Z</cp:lastPrinted>
  <dcterms:created xsi:type="dcterms:W3CDTF">2003-09-09T18:38:00Z</dcterms:created>
  <dcterms:modified xsi:type="dcterms:W3CDTF">2018-02-12T14:28:08Z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